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tables/table196.xml" ContentType="application/vnd.openxmlformats-officedocument.spreadsheetml.table+xml"/>
  <Override PartName="/xl/tables/table197.xml" ContentType="application/vnd.openxmlformats-officedocument.spreadsheetml.table+xml"/>
  <Override PartName="/xl/tables/table198.xml" ContentType="application/vnd.openxmlformats-officedocument.spreadsheetml.table+xml"/>
  <Override PartName="/xl/tables/table199.xml" ContentType="application/vnd.openxmlformats-officedocument.spreadsheetml.table+xml"/>
  <Override PartName="/xl/tables/table200.xml" ContentType="application/vnd.openxmlformats-officedocument.spreadsheetml.table+xml"/>
  <Override PartName="/xl/tables/table201.xml" ContentType="application/vnd.openxmlformats-officedocument.spreadsheetml.table+xml"/>
  <Override PartName="/xl/tables/table202.xml" ContentType="application/vnd.openxmlformats-officedocument.spreadsheetml.table+xml"/>
  <Override PartName="/xl/tables/table203.xml" ContentType="application/vnd.openxmlformats-officedocument.spreadsheetml.table+xml"/>
  <Override PartName="/xl/tables/table204.xml" ContentType="application/vnd.openxmlformats-officedocument.spreadsheetml.table+xml"/>
  <Override PartName="/xl/tables/table205.xml" ContentType="application/vnd.openxmlformats-officedocument.spreadsheetml.table+xml"/>
  <Override PartName="/xl/tables/table206.xml" ContentType="application/vnd.openxmlformats-officedocument.spreadsheetml.table+xml"/>
  <Override PartName="/xl/tables/table207.xml" ContentType="application/vnd.openxmlformats-officedocument.spreadsheetml.table+xml"/>
  <Override PartName="/xl/tables/table208.xml" ContentType="application/vnd.openxmlformats-officedocument.spreadsheetml.table+xml"/>
  <Override PartName="/xl/tables/table209.xml" ContentType="application/vnd.openxmlformats-officedocument.spreadsheetml.table+xml"/>
  <Override PartName="/xl/tables/table210.xml" ContentType="application/vnd.openxmlformats-officedocument.spreadsheetml.table+xml"/>
  <Override PartName="/xl/tables/table211.xml" ContentType="application/vnd.openxmlformats-officedocument.spreadsheetml.table+xml"/>
  <Override PartName="/xl/tables/table212.xml" ContentType="application/vnd.openxmlformats-officedocument.spreadsheetml.table+xml"/>
  <Override PartName="/xl/tables/table213.xml" ContentType="application/vnd.openxmlformats-officedocument.spreadsheetml.table+xml"/>
  <Override PartName="/xl/tables/table214.xml" ContentType="application/vnd.openxmlformats-officedocument.spreadsheetml.table+xml"/>
  <Override PartName="/xl/tables/table215.xml" ContentType="application/vnd.openxmlformats-officedocument.spreadsheetml.table+xml"/>
  <Override PartName="/xl/tables/table216.xml" ContentType="application/vnd.openxmlformats-officedocument.spreadsheetml.table+xml"/>
  <Override PartName="/xl/tables/table217.xml" ContentType="application/vnd.openxmlformats-officedocument.spreadsheetml.table+xml"/>
  <Override PartName="/xl/tables/table218.xml" ContentType="application/vnd.openxmlformats-officedocument.spreadsheetml.table+xml"/>
  <Override PartName="/xl/tables/table219.xml" ContentType="application/vnd.openxmlformats-officedocument.spreadsheetml.table+xml"/>
  <Override PartName="/xl/tables/table220.xml" ContentType="application/vnd.openxmlformats-officedocument.spreadsheetml.table+xml"/>
  <Override PartName="/xl/tables/table221.xml" ContentType="application/vnd.openxmlformats-officedocument.spreadsheetml.table+xml"/>
  <Override PartName="/xl/tables/table22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E97A7B08-A58E-4DBC-875F-FEB9CAB69791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82" r:id="rId1"/>
    <sheet name="産業大分類" sheetId="5" r:id="rId2"/>
    <sheet name="産業中分類" sheetId="6" r:id="rId3"/>
    <sheet name="産業小分類" sheetId="7" r:id="rId4"/>
    <sheet name="埼玉県" sheetId="8" r:id="rId5"/>
    <sheet name="さいたま市" sheetId="9" r:id="rId6"/>
    <sheet name="さいたま市西区" sheetId="10" r:id="rId7"/>
    <sheet name="さいたま市北区" sheetId="11" r:id="rId8"/>
    <sheet name="さいたま市大宮区" sheetId="12" r:id="rId9"/>
    <sheet name="さいたま市見沼区" sheetId="13" r:id="rId10"/>
    <sheet name="さいたま市中央区" sheetId="14" r:id="rId11"/>
    <sheet name="さいたま市桜区" sheetId="15" r:id="rId12"/>
    <sheet name="さいたま市浦和区" sheetId="16" r:id="rId13"/>
    <sheet name="さいたま市南区" sheetId="17" r:id="rId14"/>
    <sheet name="さいたま市緑区" sheetId="18" r:id="rId15"/>
    <sheet name="さいたま市岩槻区" sheetId="19" r:id="rId16"/>
    <sheet name="川越市" sheetId="20" r:id="rId17"/>
    <sheet name="熊谷市" sheetId="21" r:id="rId18"/>
    <sheet name="川口市" sheetId="22" r:id="rId19"/>
    <sheet name="行田市" sheetId="23" r:id="rId20"/>
    <sheet name="秩父市" sheetId="24" r:id="rId21"/>
    <sheet name="所沢市" sheetId="25" r:id="rId22"/>
    <sheet name="飯能市" sheetId="26" r:id="rId23"/>
    <sheet name="加須市" sheetId="27" r:id="rId24"/>
    <sheet name="本庄市" sheetId="28" r:id="rId25"/>
    <sheet name="東松山市" sheetId="29" r:id="rId26"/>
    <sheet name="春日部市" sheetId="30" r:id="rId27"/>
    <sheet name="狭山市" sheetId="31" r:id="rId28"/>
    <sheet name="羽生市" sheetId="32" r:id="rId29"/>
    <sheet name="鴻巣市" sheetId="33" r:id="rId30"/>
    <sheet name="深谷市" sheetId="34" r:id="rId31"/>
    <sheet name="上尾市" sheetId="35" r:id="rId32"/>
    <sheet name="草加市" sheetId="36" r:id="rId33"/>
    <sheet name="越谷市" sheetId="37" r:id="rId34"/>
    <sheet name="蕨市" sheetId="38" r:id="rId35"/>
    <sheet name="戸田市" sheetId="39" r:id="rId36"/>
    <sheet name="入間市" sheetId="40" r:id="rId37"/>
    <sheet name="朝霞市" sheetId="41" r:id="rId38"/>
    <sheet name="志木市" sheetId="42" r:id="rId39"/>
    <sheet name="和光市" sheetId="43" r:id="rId40"/>
    <sheet name="新座市" sheetId="44" r:id="rId41"/>
    <sheet name="桶川市" sheetId="45" r:id="rId42"/>
    <sheet name="久喜市" sheetId="46" r:id="rId43"/>
    <sheet name="北本市" sheetId="47" r:id="rId44"/>
    <sheet name="八潮市" sheetId="48" r:id="rId45"/>
    <sheet name="富士見市" sheetId="49" r:id="rId46"/>
    <sheet name="三郷市" sheetId="50" r:id="rId47"/>
    <sheet name="蓮田市" sheetId="51" r:id="rId48"/>
    <sheet name="坂戸市" sheetId="52" r:id="rId49"/>
    <sheet name="幸手市" sheetId="53" r:id="rId50"/>
    <sheet name="鶴ヶ島市" sheetId="54" r:id="rId51"/>
    <sheet name="日高市" sheetId="55" r:id="rId52"/>
    <sheet name="吉川市" sheetId="56" r:id="rId53"/>
    <sheet name="ふじみ野市" sheetId="57" r:id="rId54"/>
    <sheet name="白岡市" sheetId="58" r:id="rId55"/>
    <sheet name="北足立郡伊奈町" sheetId="59" r:id="rId56"/>
    <sheet name="入間郡三芳町" sheetId="60" r:id="rId57"/>
    <sheet name="入間郡毛呂山町" sheetId="61" r:id="rId58"/>
    <sheet name="入間郡越生町" sheetId="62" r:id="rId59"/>
    <sheet name="比企郡滑川町" sheetId="63" r:id="rId60"/>
    <sheet name="比企郡嵐山町" sheetId="64" r:id="rId61"/>
    <sheet name="比企郡小川町" sheetId="65" r:id="rId62"/>
    <sheet name="比企郡川島町" sheetId="66" r:id="rId63"/>
    <sheet name="比企郡吉見町" sheetId="67" r:id="rId64"/>
    <sheet name="比企郡鳩山町" sheetId="68" r:id="rId65"/>
    <sheet name="比企郡ときがわ町" sheetId="69" r:id="rId66"/>
    <sheet name="秩父郡横瀬町" sheetId="70" r:id="rId67"/>
    <sheet name="秩父郡皆野町" sheetId="71" r:id="rId68"/>
    <sheet name="秩父郡長瀞町" sheetId="72" r:id="rId69"/>
    <sheet name="秩父郡小鹿野町" sheetId="73" r:id="rId70"/>
    <sheet name="秩父郡東秩父村" sheetId="74" r:id="rId71"/>
    <sheet name="児玉郡美里町" sheetId="75" r:id="rId72"/>
    <sheet name="児玉郡神川町" sheetId="76" r:id="rId73"/>
    <sheet name="児玉郡上里町" sheetId="77" r:id="rId74"/>
    <sheet name="大里郡寄居町" sheetId="78" r:id="rId75"/>
    <sheet name="南埼玉郡宮代町" sheetId="79" r:id="rId76"/>
    <sheet name="北葛飾郡杉戸町" sheetId="80" r:id="rId77"/>
    <sheet name="北葛飾郡松伏町" sheetId="81" r:id="rId78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158" r:id="rId79"/>
    <pivotCache cacheId="2159" r:id="rId80"/>
    <pivotCache cacheId="2160" r:id="rId8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81" l="1"/>
  <c r="G21" i="81"/>
  <c r="E21" i="81"/>
  <c r="I20" i="81"/>
  <c r="G20" i="81"/>
  <c r="E20" i="81"/>
  <c r="C20" i="81"/>
  <c r="I21" i="80"/>
  <c r="G21" i="80"/>
  <c r="E21" i="80"/>
  <c r="I20" i="80"/>
  <c r="G20" i="80"/>
  <c r="E20" i="80"/>
  <c r="C20" i="80"/>
  <c r="I21" i="79"/>
  <c r="G21" i="79"/>
  <c r="E21" i="79"/>
  <c r="I20" i="79"/>
  <c r="G20" i="79"/>
  <c r="E20" i="79"/>
  <c r="C20" i="79"/>
  <c r="I21" i="78"/>
  <c r="G21" i="78"/>
  <c r="E21" i="78"/>
  <c r="I20" i="78"/>
  <c r="G20" i="78"/>
  <c r="E20" i="78"/>
  <c r="C20" i="78"/>
  <c r="I21" i="77"/>
  <c r="G21" i="77"/>
  <c r="E21" i="77"/>
  <c r="I20" i="77"/>
  <c r="G20" i="77"/>
  <c r="E20" i="77"/>
  <c r="C20" i="77"/>
  <c r="I21" i="76"/>
  <c r="G21" i="76"/>
  <c r="E21" i="76"/>
  <c r="I20" i="76"/>
  <c r="G20" i="76"/>
  <c r="E20" i="76"/>
  <c r="C20" i="76"/>
  <c r="I21" i="75"/>
  <c r="G21" i="75"/>
  <c r="E21" i="75"/>
  <c r="I20" i="75"/>
  <c r="G20" i="75"/>
  <c r="E20" i="75"/>
  <c r="C20" i="75"/>
  <c r="I21" i="74"/>
  <c r="G21" i="74"/>
  <c r="E21" i="74"/>
  <c r="I20" i="74"/>
  <c r="G20" i="74"/>
  <c r="E20" i="74"/>
  <c r="C20" i="74"/>
  <c r="I21" i="73"/>
  <c r="G21" i="73"/>
  <c r="E21" i="73"/>
  <c r="I20" i="73"/>
  <c r="G20" i="73"/>
  <c r="E20" i="73"/>
  <c r="C20" i="73"/>
  <c r="I21" i="72"/>
  <c r="G21" i="72"/>
  <c r="E21" i="72"/>
  <c r="I20" i="72"/>
  <c r="G20" i="72"/>
  <c r="E20" i="72"/>
  <c r="C20" i="72"/>
  <c r="I21" i="71"/>
  <c r="G21" i="71"/>
  <c r="E21" i="71"/>
  <c r="I20" i="71"/>
  <c r="G20" i="71"/>
  <c r="E20" i="71"/>
  <c r="C20" i="71"/>
  <c r="I21" i="70"/>
  <c r="G21" i="70"/>
  <c r="E21" i="70"/>
  <c r="I20" i="70"/>
  <c r="G20" i="70"/>
  <c r="E20" i="70"/>
  <c r="C20" i="70"/>
  <c r="I21" i="69"/>
  <c r="G21" i="69"/>
  <c r="E21" i="69"/>
  <c r="I20" i="69"/>
  <c r="G20" i="69"/>
  <c r="E20" i="69"/>
  <c r="C20" i="69"/>
  <c r="I21" i="68"/>
  <c r="G21" i="68"/>
  <c r="E21" i="68"/>
  <c r="I20" i="68"/>
  <c r="G20" i="68"/>
  <c r="E20" i="68"/>
  <c r="C20" i="68"/>
  <c r="I21" i="67"/>
  <c r="G21" i="67"/>
  <c r="E21" i="67"/>
  <c r="I20" i="67"/>
  <c r="G20" i="67"/>
  <c r="E20" i="67"/>
  <c r="C20" i="67"/>
  <c r="I21" i="66"/>
  <c r="G21" i="66"/>
  <c r="E21" i="66"/>
  <c r="I20" i="66"/>
  <c r="G20" i="66"/>
  <c r="E20" i="66"/>
  <c r="C20" i="66"/>
  <c r="I21" i="65"/>
  <c r="G21" i="65"/>
  <c r="E21" i="65"/>
  <c r="I20" i="65"/>
  <c r="G20" i="65"/>
  <c r="E20" i="65"/>
  <c r="C20" i="65"/>
  <c r="I21" i="64"/>
  <c r="G21" i="64"/>
  <c r="E21" i="64"/>
  <c r="I20" i="64"/>
  <c r="G20" i="64"/>
  <c r="E20" i="64"/>
  <c r="C20" i="64"/>
  <c r="I21" i="63"/>
  <c r="G21" i="63"/>
  <c r="E21" i="63"/>
  <c r="I20" i="63"/>
  <c r="G20" i="63"/>
  <c r="E20" i="63"/>
  <c r="C20" i="63"/>
  <c r="I21" i="62"/>
  <c r="G21" i="62"/>
  <c r="E21" i="62"/>
  <c r="I20" i="62"/>
  <c r="G20" i="62"/>
  <c r="E20" i="62"/>
  <c r="C20" i="62"/>
  <c r="I21" i="61"/>
  <c r="G21" i="61"/>
  <c r="E21" i="61"/>
  <c r="I20" i="61"/>
  <c r="G20" i="61"/>
  <c r="E20" i="61"/>
  <c r="C20" i="61"/>
  <c r="I21" i="60"/>
  <c r="G21" i="60"/>
  <c r="E21" i="60"/>
  <c r="I20" i="60"/>
  <c r="G20" i="60"/>
  <c r="E20" i="60"/>
  <c r="C20" i="60"/>
  <c r="I21" i="59"/>
  <c r="G21" i="59"/>
  <c r="E21" i="59"/>
  <c r="I20" i="59"/>
  <c r="G20" i="59"/>
  <c r="E20" i="59"/>
  <c r="C20" i="59"/>
  <c r="I21" i="58"/>
  <c r="G21" i="58"/>
  <c r="E21" i="58"/>
  <c r="I20" i="58"/>
  <c r="G20" i="58"/>
  <c r="E20" i="58"/>
  <c r="C20" i="58"/>
  <c r="I21" i="57"/>
  <c r="G21" i="57"/>
  <c r="E21" i="57"/>
  <c r="I20" i="57"/>
  <c r="G20" i="57"/>
  <c r="E20" i="57"/>
  <c r="C20" i="57"/>
  <c r="I21" i="56"/>
  <c r="G21" i="56"/>
  <c r="E21" i="56"/>
  <c r="I20" i="56"/>
  <c r="G20" i="56"/>
  <c r="E20" i="56"/>
  <c r="C20" i="56"/>
  <c r="I21" i="55"/>
  <c r="G21" i="55"/>
  <c r="E21" i="55"/>
  <c r="I20" i="55"/>
  <c r="G20" i="55"/>
  <c r="E20" i="55"/>
  <c r="C20" i="55"/>
  <c r="I21" i="54"/>
  <c r="G21" i="54"/>
  <c r="E21" i="54"/>
  <c r="I20" i="54"/>
  <c r="G20" i="54"/>
  <c r="E20" i="54"/>
  <c r="C20" i="54"/>
  <c r="I21" i="53"/>
  <c r="G21" i="53"/>
  <c r="E21" i="53"/>
  <c r="I20" i="53"/>
  <c r="G20" i="53"/>
  <c r="E20" i="53"/>
  <c r="C20" i="53"/>
  <c r="I21" i="52"/>
  <c r="G21" i="52"/>
  <c r="E21" i="52"/>
  <c r="I20" i="52"/>
  <c r="G20" i="52"/>
  <c r="E20" i="52"/>
  <c r="C20" i="52"/>
  <c r="I21" i="51"/>
  <c r="G21" i="51"/>
  <c r="E21" i="51"/>
  <c r="I20" i="51"/>
  <c r="G20" i="51"/>
  <c r="E20" i="51"/>
  <c r="C20" i="51"/>
  <c r="I21" i="50"/>
  <c r="G21" i="50"/>
  <c r="E21" i="50"/>
  <c r="I20" i="50"/>
  <c r="G20" i="50"/>
  <c r="E20" i="50"/>
  <c r="C20" i="50"/>
  <c r="I21" i="49"/>
  <c r="G21" i="49"/>
  <c r="E21" i="49"/>
  <c r="I20" i="49"/>
  <c r="G20" i="49"/>
  <c r="E20" i="49"/>
  <c r="C20" i="49"/>
  <c r="I21" i="48"/>
  <c r="G21" i="48"/>
  <c r="E21" i="48"/>
  <c r="I20" i="48"/>
  <c r="G20" i="48"/>
  <c r="E20" i="48"/>
  <c r="C20" i="48"/>
  <c r="I21" i="47"/>
  <c r="G21" i="47"/>
  <c r="E21" i="47"/>
  <c r="I20" i="47"/>
  <c r="G20" i="47"/>
  <c r="E20" i="47"/>
  <c r="C20" i="47"/>
  <c r="I21" i="46"/>
  <c r="G21" i="46"/>
  <c r="E21" i="46"/>
  <c r="I20" i="46"/>
  <c r="G20" i="46"/>
  <c r="E20" i="46"/>
  <c r="C20" i="46"/>
  <c r="I21" i="45"/>
  <c r="G21" i="45"/>
  <c r="E21" i="45"/>
  <c r="I20" i="45"/>
  <c r="G20" i="45"/>
  <c r="E20" i="45"/>
  <c r="C20" i="45"/>
  <c r="I21" i="44"/>
  <c r="G21" i="44"/>
  <c r="E21" i="44"/>
  <c r="I20" i="44"/>
  <c r="G20" i="44"/>
  <c r="E20" i="44"/>
  <c r="C20" i="44"/>
  <c r="I21" i="43"/>
  <c r="G21" i="43"/>
  <c r="E21" i="43"/>
  <c r="I20" i="43"/>
  <c r="G20" i="43"/>
  <c r="E20" i="43"/>
  <c r="C20" i="43"/>
  <c r="I21" i="42"/>
  <c r="G21" i="42"/>
  <c r="E21" i="42"/>
  <c r="I20" i="42"/>
  <c r="G20" i="42"/>
  <c r="E20" i="42"/>
  <c r="C20" i="42"/>
  <c r="I21" i="41"/>
  <c r="G21" i="41"/>
  <c r="E21" i="41"/>
  <c r="I20" i="41"/>
  <c r="G20" i="41"/>
  <c r="E20" i="41"/>
  <c r="C20" i="41"/>
  <c r="I21" i="40"/>
  <c r="G21" i="40"/>
  <c r="E21" i="40"/>
  <c r="I20" i="40"/>
  <c r="G20" i="40"/>
  <c r="E20" i="40"/>
  <c r="C20" i="40"/>
  <c r="I21" i="39"/>
  <c r="G21" i="39"/>
  <c r="E21" i="39"/>
  <c r="I20" i="39"/>
  <c r="G20" i="39"/>
  <c r="E20" i="39"/>
  <c r="C20" i="39"/>
  <c r="I21" i="38"/>
  <c r="G21" i="38"/>
  <c r="E21" i="38"/>
  <c r="I20" i="38"/>
  <c r="G20" i="38"/>
  <c r="E20" i="38"/>
  <c r="C20" i="38"/>
  <c r="I21" i="37"/>
  <c r="G21" i="37"/>
  <c r="E21" i="37"/>
  <c r="I20" i="37"/>
  <c r="G20" i="37"/>
  <c r="E20" i="37"/>
  <c r="C20" i="37"/>
  <c r="I21" i="36"/>
  <c r="G21" i="36"/>
  <c r="E21" i="36"/>
  <c r="I20" i="36"/>
  <c r="G20" i="36"/>
  <c r="E20" i="36"/>
  <c r="C20" i="36"/>
  <c r="I21" i="35"/>
  <c r="G21" i="35"/>
  <c r="E21" i="35"/>
  <c r="I20" i="35"/>
  <c r="G20" i="35"/>
  <c r="E20" i="35"/>
  <c r="C20" i="35"/>
  <c r="I21" i="34"/>
  <c r="G21" i="34"/>
  <c r="E21" i="34"/>
  <c r="I20" i="34"/>
  <c r="G20" i="34"/>
  <c r="E20" i="34"/>
  <c r="C20" i="34"/>
  <c r="I21" i="33"/>
  <c r="G21" i="33"/>
  <c r="E21" i="33"/>
  <c r="I20" i="33"/>
  <c r="G20" i="33"/>
  <c r="E20" i="33"/>
  <c r="C20" i="33"/>
  <c r="I21" i="32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1" i="29"/>
  <c r="G21" i="29"/>
  <c r="E21" i="29"/>
  <c r="I20" i="29"/>
  <c r="G20" i="29"/>
  <c r="E20" i="29"/>
  <c r="C20" i="29"/>
  <c r="I21" i="28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<sst xmlns="http://schemas.openxmlformats.org/spreadsheetml/2006/main" count="10848" uniqueCount="421">
  <si>
    <t>11000 埼玉県</t>
  </si>
  <si>
    <t>11100 さいたま市</t>
  </si>
  <si>
    <t>11101 さいたま市西区</t>
  </si>
  <si>
    <t>11102 さいたま市北区</t>
  </si>
  <si>
    <t>11103 さいたま市大宮区</t>
  </si>
  <si>
    <t>11104 さいたま市見沼区</t>
  </si>
  <si>
    <t>11105 さいたま市中央区</t>
  </si>
  <si>
    <t>11106 さいたま市桜区</t>
  </si>
  <si>
    <t>11107 さいたま市浦和区</t>
  </si>
  <si>
    <t>11108 さいたま市南区</t>
  </si>
  <si>
    <t>11109 さいたま市緑区</t>
  </si>
  <si>
    <t>11110 さいたま市岩槻区</t>
  </si>
  <si>
    <t>11201 川越市</t>
  </si>
  <si>
    <t>11202 熊谷市</t>
  </si>
  <si>
    <t>11203 川口市</t>
  </si>
  <si>
    <t>11206 行田市</t>
  </si>
  <si>
    <t>11207 秩父市</t>
  </si>
  <si>
    <t>11208 所沢市</t>
  </si>
  <si>
    <t>11209 飯能市</t>
  </si>
  <si>
    <t>11210 加須市</t>
  </si>
  <si>
    <t>11211 本庄市</t>
  </si>
  <si>
    <t>11212 東松山市</t>
  </si>
  <si>
    <t>11214 春日部市</t>
  </si>
  <si>
    <t>11215 狭山市</t>
  </si>
  <si>
    <t>11216 羽生市</t>
  </si>
  <si>
    <t>11217 鴻巣市</t>
  </si>
  <si>
    <t>11218 深谷市</t>
  </si>
  <si>
    <t>11219 上尾市</t>
  </si>
  <si>
    <t>11221 草加市</t>
  </si>
  <si>
    <t>11222 越谷市</t>
  </si>
  <si>
    <t>11223 蕨市</t>
  </si>
  <si>
    <t>11224 戸田市</t>
  </si>
  <si>
    <t>11225 入間市</t>
  </si>
  <si>
    <t>11227 朝霞市</t>
  </si>
  <si>
    <t>11228 志木市</t>
  </si>
  <si>
    <t>11229 和光市</t>
  </si>
  <si>
    <t>11230 新座市</t>
  </si>
  <si>
    <t>11231 桶川市</t>
  </si>
  <si>
    <t>11232 久喜市</t>
  </si>
  <si>
    <t>11233 北本市</t>
  </si>
  <si>
    <t>11234 八潮市</t>
  </si>
  <si>
    <t>11235 富士見市</t>
  </si>
  <si>
    <t>11237 三郷市</t>
  </si>
  <si>
    <t>11238 蓮田市</t>
  </si>
  <si>
    <t>11239 坂戸市</t>
  </si>
  <si>
    <t>11240 幸手市</t>
  </si>
  <si>
    <t>11241 鶴ヶ島市</t>
  </si>
  <si>
    <t>11242 日高市</t>
  </si>
  <si>
    <t>11243 吉川市</t>
  </si>
  <si>
    <t>11245 ふじみ野市</t>
  </si>
  <si>
    <t>11246 白岡市</t>
  </si>
  <si>
    <t>11301 北足立郡伊奈町</t>
  </si>
  <si>
    <t>11324 入間郡三芳町</t>
  </si>
  <si>
    <t>11326 入間郡毛呂山町</t>
  </si>
  <si>
    <t>11327 入間郡越生町</t>
  </si>
  <si>
    <t>11341 比企郡滑川町</t>
  </si>
  <si>
    <t>11342 比企郡嵐山町</t>
  </si>
  <si>
    <t>11343 比企郡小川町</t>
  </si>
  <si>
    <t>11346 比企郡川島町</t>
  </si>
  <si>
    <t>11347 比企郡吉見町</t>
  </si>
  <si>
    <t>11348 比企郡鳩山町</t>
  </si>
  <si>
    <t>11349 比企郡ときがわ町</t>
  </si>
  <si>
    <t>11361 秩父郡横瀬町</t>
  </si>
  <si>
    <t>11362 秩父郡皆野町</t>
  </si>
  <si>
    <t>11363 秩父郡長瀞町</t>
  </si>
  <si>
    <t>11365 秩父郡小鹿野町</t>
  </si>
  <si>
    <t>11369 秩父郡東秩父村</t>
  </si>
  <si>
    <t>11381 児玉郡美里町</t>
  </si>
  <si>
    <t>11383 児玉郡神川町</t>
  </si>
  <si>
    <t>11385 児玉郡上里町</t>
  </si>
  <si>
    <t>11408 大里郡寄居町</t>
  </si>
  <si>
    <t>11442 南埼玉郡宮代町</t>
  </si>
  <si>
    <t>11464 北葛飾郡杉戸町</t>
  </si>
  <si>
    <t>11465 北葛飾郡松伏町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</si>
  <si>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</si>
  <si>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</si>
  <si>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</si>
  <si>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</si>
  <si>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</si>
  <si>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</si>
  <si>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</si>
  <si>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</si>
  <si>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</si>
  <si>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</si>
  <si>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</si>
  <si>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</si>
  <si>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</si>
  <si>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</si>
  <si>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</si>
  <si>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</si>
  <si>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</si>
  <si>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</si>
  <si>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</si>
  <si>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</si>
  <si>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</si>
  <si>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</si>
  <si>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</si>
  <si>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</si>
  <si>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</si>
  <si>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</si>
  <si>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24 金属製品製造業</t>
  </si>
  <si>
    <t>53 建築材料，鉱物・金属材料等卸売業</t>
  </si>
  <si>
    <t>54 機械器具卸売業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</si>
  <si>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</si>
  <si>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</si>
  <si>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</si>
  <si>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</si>
  <si>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</si>
  <si>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</si>
  <si>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</si>
  <si>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</si>
  <si>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</si>
  <si>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</si>
  <si>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79 その他の生活関連サービス業</t>
  </si>
  <si>
    <t>82 その他の教育，学習支援業</t>
  </si>
  <si>
    <t>83 医療業</t>
  </si>
  <si>
    <t>89 自動車整備業</t>
  </si>
  <si>
    <t>55 その他の卸売業</t>
  </si>
  <si>
    <t>85 社会保険・社会福祉・介護事業</t>
  </si>
  <si>
    <t>92 その他の事業サービス業</t>
  </si>
  <si>
    <t>26 生産用機械器具製造業</t>
  </si>
  <si>
    <t>52 飲食料品卸売業</t>
  </si>
  <si>
    <t>61 無店舗小売業</t>
  </si>
  <si>
    <t>39 情報サービス業</t>
  </si>
  <si>
    <t>80 娯楽業</t>
  </si>
  <si>
    <t>32 その他の製造業</t>
  </si>
  <si>
    <t>25 はん用機械器具製造業</t>
  </si>
  <si>
    <t>11 繊維工業</t>
  </si>
  <si>
    <t>18 プラスチック製品製造業（別掲を除く）</t>
  </si>
  <si>
    <t>12 木材・木製品製造業（家具を除く）</t>
  </si>
  <si>
    <t>13 家具・装備品製造業</t>
  </si>
  <si>
    <t>15 印刷・同関連業</t>
  </si>
  <si>
    <t>19 ゴム製品製造業</t>
  </si>
  <si>
    <t>20 なめし革・同製品・毛皮製造業</t>
  </si>
  <si>
    <t>77 持ち帰り・配達飲食サービス業</t>
  </si>
  <si>
    <t>31 輸送用機械器具製造業</t>
  </si>
  <si>
    <t>27 業務用機械器具製造業</t>
  </si>
  <si>
    <t>29 電気機械器具製造業</t>
  </si>
  <si>
    <t>14 パルプ・紙・紙加工品製造業</t>
  </si>
  <si>
    <t>09 食料品製造業</t>
  </si>
  <si>
    <t>70 物品賃貸業</t>
  </si>
  <si>
    <t>44 道路貨物運送業</t>
  </si>
  <si>
    <t>75 宿泊業</t>
  </si>
  <si>
    <t>21 窯業・土石製品製造業</t>
  </si>
  <si>
    <t>33 電気業</t>
  </si>
  <si>
    <t>43 道路旅客運送業</t>
  </si>
  <si>
    <t>90 機械等修理業（別掲を除く）</t>
  </si>
  <si>
    <t>28 電子部品・デバイス・電子回路製造業</t>
  </si>
  <si>
    <t>22 鉄鋼業</t>
  </si>
  <si>
    <t>30 情報通信機械器具製造業</t>
  </si>
  <si>
    <t>36 水道業</t>
  </si>
  <si>
    <t>41 映像・音声・文字情報制作業</t>
  </si>
  <si>
    <t>48 運輸に附帯するサービス業</t>
  </si>
  <si>
    <t>95 その他のサービス業</t>
  </si>
  <si>
    <t>23 非鉄金属製造業</t>
  </si>
  <si>
    <t>自治体</t>
  </si>
  <si>
    <t>産業中分類</t>
  </si>
  <si>
    <t>062 土木工事業（舗装工事業を除く）</t>
  </si>
  <si>
    <t>064 建築工事業（木造建築工事業を除く）</t>
  </si>
  <si>
    <t>065 木造建築工事業</t>
  </si>
  <si>
    <t>081 電気工事業</t>
  </si>
  <si>
    <t>083 管工事業（さく井工事業を除く）</t>
  </si>
  <si>
    <t>589 その他の飲食料品小売業</t>
  </si>
  <si>
    <t>591 自動車小売業</t>
  </si>
  <si>
    <t>609 他に分類されない小売業</t>
  </si>
  <si>
    <t>682 不動産代理業・仲介業</t>
  </si>
  <si>
    <t>691 不動産賃貸業（貸家業，貸間業を除く）</t>
  </si>
  <si>
    <t>692 貸家業，貸間業</t>
  </si>
  <si>
    <t>694 不動産管理業</t>
  </si>
  <si>
    <t>762 専門料理店</t>
  </si>
  <si>
    <t>765 酒場，ビヤホール</t>
  </si>
  <si>
    <t>781 洗濯業</t>
  </si>
  <si>
    <t>782 理容業</t>
  </si>
  <si>
    <t>783 美容業</t>
  </si>
  <si>
    <t>824 教養・技能教授業</t>
  </si>
  <si>
    <t>835 療術業</t>
  </si>
  <si>
    <t>891 自動車整備業</t>
  </si>
  <si>
    <t>066 建築リフォーム工事業</t>
  </si>
  <si>
    <t>742 土木建築サービス業</t>
  </si>
  <si>
    <t>823 学習塾</t>
  </si>
  <si>
    <t>072 とび・土工・コンクリート工事業</t>
  </si>
  <si>
    <t>077 塗装工事業</t>
  </si>
  <si>
    <t>079 その他の職別工事業</t>
  </si>
  <si>
    <t>522 食料・飲料卸売業</t>
  </si>
  <si>
    <t>559 他に分類されない卸売業</t>
  </si>
  <si>
    <t>603 医薬品・化粧品小売業</t>
  </si>
  <si>
    <t>573 婦人・子供服小売業</t>
  </si>
  <si>
    <t>579 その他の織物・衣服・身の回り品小売業</t>
  </si>
  <si>
    <t>586 菓子・パン小売業</t>
  </si>
  <si>
    <t>693 駐車場業</t>
  </si>
  <si>
    <t>724 公認会計士事務所，税理士事務所</t>
  </si>
  <si>
    <t>766 バー，キャバレー，ナイトクラブ</t>
  </si>
  <si>
    <t>767 喫茶店</t>
  </si>
  <si>
    <t>729 その他の専門サービス業</t>
  </si>
  <si>
    <t>728 経営コンサルタント業，純粋持株会社</t>
  </si>
  <si>
    <t>833 歯科診療所</t>
  </si>
  <si>
    <t>853 児童福祉事業</t>
  </si>
  <si>
    <t>078 床・内装工事業</t>
  </si>
  <si>
    <t>721 法律事務所，特許事務所</t>
  </si>
  <si>
    <t>391 ソフトウェア業</t>
  </si>
  <si>
    <t>244 建設用・建築用金属製品製造業（製缶板金業を含む）</t>
  </si>
  <si>
    <t>325 がん具・運動用具製造業</t>
  </si>
  <si>
    <t>116 外衣・シャツ製造業（和式を除く）</t>
  </si>
  <si>
    <t>593 機械器具小売業（自動車，自転車を除く）</t>
  </si>
  <si>
    <t>531 建築材料卸売業</t>
  </si>
  <si>
    <t>761 食堂，レストラン（専門料理店を除く）</t>
  </si>
  <si>
    <t>763 そば・うどん店</t>
  </si>
  <si>
    <t>605 燃料小売業</t>
  </si>
  <si>
    <t>153 製本業，印刷物加工業</t>
  </si>
  <si>
    <t>794 物品預り業</t>
  </si>
  <si>
    <t>131 家具製造業</t>
  </si>
  <si>
    <t>151 印刷業</t>
  </si>
  <si>
    <t>245 金属素形材製品製造業</t>
  </si>
  <si>
    <t>246 金属被覆・彫刻業，熱処理業（ほうろう鉄器を除く）</t>
  </si>
  <si>
    <t>269 その他の生産用機械・同部分品製造業</t>
  </si>
  <si>
    <t>193 ゴムベルト・ゴムホース・工業用ゴム製品製造業</t>
  </si>
  <si>
    <t>071 大工工事業</t>
  </si>
  <si>
    <t>611 通信販売・訪問販売小売業</t>
  </si>
  <si>
    <t>681 建物売買業，土地売買業</t>
  </si>
  <si>
    <t>183 工業用プラスチック製品製造業</t>
  </si>
  <si>
    <t>311 自動車・同附属品製造業</t>
  </si>
  <si>
    <t>471 倉庫業（冷蔵倉庫業を除く）</t>
  </si>
  <si>
    <t>929 他に分類されない事業サービス業</t>
  </si>
  <si>
    <t>133 建具製造業</t>
  </si>
  <si>
    <t>585 酒小売業</t>
  </si>
  <si>
    <t>601 家具・建具・畳小売業</t>
  </si>
  <si>
    <t>722 公証人役場，司法書士事務所，土地家屋調査士事務所</t>
  </si>
  <si>
    <t>076 板金・金物工事業</t>
  </si>
  <si>
    <t>799 他に分類されない生活関連サービス業</t>
  </si>
  <si>
    <t>074 石工・れんが・タイル・ブロック工事業</t>
  </si>
  <si>
    <t>329 他に分類されない製造業</t>
  </si>
  <si>
    <t>604 農耕用品小売業</t>
  </si>
  <si>
    <t>145 紙製容器製造業</t>
  </si>
  <si>
    <t>723 行政書士事務所</t>
  </si>
  <si>
    <t>121 製材業，木製品製造業</t>
  </si>
  <si>
    <t>441 一般貨物自動車運送業</t>
  </si>
  <si>
    <t>075 左官工事業</t>
  </si>
  <si>
    <t>751 旅館，ホテル</t>
  </si>
  <si>
    <t>099 その他の食料品製造業</t>
  </si>
  <si>
    <t>119 その他の繊維製品製造業</t>
  </si>
  <si>
    <t>063 舗装工事業</t>
  </si>
  <si>
    <t>073 鉄骨・鉄筋工事業</t>
  </si>
  <si>
    <t>097 パン・菓子製造業</t>
  </si>
  <si>
    <t>142 紙製造業</t>
  </si>
  <si>
    <t>211 ガラス・同製品製造業</t>
  </si>
  <si>
    <t>214 陶磁器・同関連製品製造業</t>
  </si>
  <si>
    <t>225 鉄素形材製造業</t>
  </si>
  <si>
    <t>247 金属線製品製造業（ねじ類を除く）</t>
  </si>
  <si>
    <t>253 一般産業用機械・装置製造業</t>
  </si>
  <si>
    <t>302 映像・音響機械器具製造業</t>
  </si>
  <si>
    <t>319 その他の輸送用機械器具製造業</t>
  </si>
  <si>
    <t>360 管理，補助的経済活動を行う事業所</t>
  </si>
  <si>
    <t>415 広告制作業</t>
  </si>
  <si>
    <t>443 貨物軽自動車運送業</t>
  </si>
  <si>
    <t>489 その他の運輸に附帯するサービス業</t>
  </si>
  <si>
    <t>725 社会保険労務士事務所</t>
  </si>
  <si>
    <t>743 機械設計業</t>
  </si>
  <si>
    <t>785 その他の公衆浴場業</t>
  </si>
  <si>
    <t>809 その他の娯楽業</t>
  </si>
  <si>
    <t>821 社会教育</t>
  </si>
  <si>
    <t>854 老人福祉・介護事業</t>
  </si>
  <si>
    <t>951 集会場</t>
  </si>
  <si>
    <t>235 非鉄金属素形材製造業</t>
  </si>
  <si>
    <t>581 各種食料品小売業</t>
  </si>
  <si>
    <t>855 障害者福祉事業</t>
  </si>
  <si>
    <t>331 電気業</t>
  </si>
  <si>
    <t>産業小分類</t>
  </si>
  <si>
    <t>11000　埼玉県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</si>
  <si>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</si>
  <si>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</si>
  <si>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</si>
  <si>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</si>
  <si>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</si>
  <si>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11100　さいたま市</t>
  </si>
  <si>
    <t>11101　さいたま市西区</t>
  </si>
  <si>
    <t>11102　さいたま市北区</t>
  </si>
  <si>
    <t>11103　さいたま市大宮区</t>
  </si>
  <si>
    <t>11104　さいたま市見沼区</t>
  </si>
  <si>
    <t>11105　さいたま市中央区</t>
  </si>
  <si>
    <t>11106　さいたま市桜区</t>
  </si>
  <si>
    <t>11107　さいたま市浦和区</t>
  </si>
  <si>
    <t>11108　さいたま市南区</t>
  </si>
  <si>
    <t>11109　さいたま市緑区</t>
  </si>
  <si>
    <t>11110　さいたま市岩槻区</t>
  </si>
  <si>
    <t>11201　川越市</t>
  </si>
  <si>
    <t>11202　熊谷市</t>
  </si>
  <si>
    <t>11203　川口市</t>
  </si>
  <si>
    <t>11206　行田市</t>
  </si>
  <si>
    <t>11207　秩父市</t>
  </si>
  <si>
    <t>11208　所沢市</t>
  </si>
  <si>
    <t>11209　飯能市</t>
  </si>
  <si>
    <t>11210　加須市</t>
  </si>
  <si>
    <t>11211　本庄市</t>
  </si>
  <si>
    <t>11212　東松山市</t>
  </si>
  <si>
    <t>11214　春日部市</t>
  </si>
  <si>
    <t>11215　狭山市</t>
  </si>
  <si>
    <t>11216　羽生市</t>
  </si>
  <si>
    <t>11217　鴻巣市</t>
  </si>
  <si>
    <t>11218　深谷市</t>
  </si>
  <si>
    <t>11219　上尾市</t>
  </si>
  <si>
    <t>11221　草加市</t>
  </si>
  <si>
    <t>11222　越谷市</t>
  </si>
  <si>
    <t>11223　蕨市</t>
  </si>
  <si>
    <t>11224　戸田市</t>
  </si>
  <si>
    <t>11225　入間市</t>
  </si>
  <si>
    <t>11227　朝霞市</t>
  </si>
  <si>
    <t>11228　志木市</t>
  </si>
  <si>
    <t>11229　和光市</t>
  </si>
  <si>
    <t>11230　新座市</t>
  </si>
  <si>
    <t>11231　桶川市</t>
  </si>
  <si>
    <t>11232　久喜市</t>
  </si>
  <si>
    <t>11233　北本市</t>
  </si>
  <si>
    <t>11234　八潮市</t>
  </si>
  <si>
    <t>11235　富士見市</t>
  </si>
  <si>
    <t>11237　三郷市</t>
  </si>
  <si>
    <t>11238　蓮田市</t>
  </si>
  <si>
    <t>11239　坂戸市</t>
  </si>
  <si>
    <t>11240　幸手市</t>
  </si>
  <si>
    <t>11241　鶴ヶ島市</t>
  </si>
  <si>
    <t>11242　日高市</t>
  </si>
  <si>
    <t>11243　吉川市</t>
  </si>
  <si>
    <t>11245　ふじみ野市</t>
  </si>
  <si>
    <t>11246　白岡市</t>
  </si>
  <si>
    <t>11301　北足立郡伊奈町</t>
  </si>
  <si>
    <t>11324　入間郡三芳町</t>
  </si>
  <si>
    <t>11326　入間郡毛呂山町</t>
  </si>
  <si>
    <t>11327　入間郡越生町</t>
  </si>
  <si>
    <t>11341　比企郡滑川町</t>
  </si>
  <si>
    <t>11342　比企郡嵐山町</t>
  </si>
  <si>
    <t>11343　比企郡小川町</t>
  </si>
  <si>
    <t>11346　比企郡川島町</t>
  </si>
  <si>
    <t>11347　比企郡吉見町</t>
  </si>
  <si>
    <t>11348　比企郡鳩山町</t>
  </si>
  <si>
    <t>11349　比企郡ときがわ町</t>
  </si>
  <si>
    <t>11361　秩父郡横瀬町</t>
  </si>
  <si>
    <t>11362　秩父郡皆野町</t>
  </si>
  <si>
    <t>11363　秩父郡長瀞町</t>
  </si>
  <si>
    <t>11365　秩父郡小鹿野町</t>
  </si>
  <si>
    <t>11369　秩父郡東秩父村</t>
  </si>
  <si>
    <t>11381　児玉郡美里町</t>
  </si>
  <si>
    <t>11383　児玉郡神川町</t>
  </si>
  <si>
    <t>11385　児玉郡上里町</t>
  </si>
  <si>
    <t>11408　大里郡寄居町</t>
  </si>
  <si>
    <t>11442　南埼玉郡宮代町</t>
  </si>
  <si>
    <t>11464　北葛飾郡杉戸町</t>
  </si>
  <si>
    <t>11465　北葛飾郡松伏町</t>
  </si>
  <si>
    <t>埼玉県</t>
  </si>
  <si>
    <t>さいたま市</t>
  </si>
  <si>
    <t>さいたま市西区</t>
  </si>
  <si>
    <t>さいたま市北区</t>
  </si>
  <si>
    <t>さいたま市大宮区</t>
  </si>
  <si>
    <t>さいたま市見沼区</t>
  </si>
  <si>
    <t>さいたま市中央区</t>
  </si>
  <si>
    <t>さいたま市桜区</t>
  </si>
  <si>
    <t>さいたま市浦和区</t>
  </si>
  <si>
    <t>さいたま市南区</t>
  </si>
  <si>
    <t>さいたま市緑区</t>
  </si>
  <si>
    <t>さいたま市岩槻区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</si>
  <si>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</si>
  <si>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</si>
  <si>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</si>
  <si>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</si>
  <si>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</si>
  <si>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</si>
  <si>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</si>
  <si>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</si>
  <si>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</si>
  <si>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</si>
  <si>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</si>
  <si>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</si>
  <si>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</si>
  <si>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</si>
  <si>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</si>
  <si>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</si>
  <si>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</si>
  <si>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</si>
  <si>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</si>
  <si>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</si>
  <si>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</si>
  <si>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</si>
  <si>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</si>
  <si>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</si>
  <si>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</si>
  <si>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</si>
  <si>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</si>
  <si>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</si>
  <si>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</si>
  <si>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</si>
  <si>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</si>
  <si>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</si>
  <si>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</si>
  <si>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</si>
  <si>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</si>
  <si>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</si>
  <si>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</si>
  <si>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</si>
  <si>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</si>
  <si>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北足立郡伊奈町</t>
  </si>
  <si>
    <t>入間郡三芳町</t>
  </si>
  <si>
    <t>入間郡毛呂山町</t>
  </si>
  <si>
    <t>入間郡越生町</t>
  </si>
  <si>
    <t>比企郡滑川町</t>
  </si>
  <si>
    <t>比企郡嵐山町</t>
  </si>
  <si>
    <t>比企郡小川町</t>
  </si>
  <si>
    <t>比企郡川島町</t>
  </si>
  <si>
    <t>比企郡吉見町</t>
  </si>
  <si>
    <t>比企郡鳩山町</t>
  </si>
  <si>
    <t>比企郡ときがわ町</t>
  </si>
  <si>
    <t>秩父郡横瀬町</t>
  </si>
  <si>
    <t>秩父郡皆野町</t>
  </si>
  <si>
    <t>秩父郡長瀞町</t>
  </si>
  <si>
    <t>秩父郡小鹿野町</t>
  </si>
  <si>
    <t>秩父郡東秩父村</t>
  </si>
  <si>
    <t>児玉郡美里町</t>
  </si>
  <si>
    <t>児玉郡神川町</t>
  </si>
  <si>
    <t>児玉郡上里町</t>
  </si>
  <si>
    <t>大里郡寄居町</t>
  </si>
  <si>
    <t>南埼玉郡宮代町</t>
  </si>
  <si>
    <t>北葛飾郡杉戸町</t>
  </si>
  <si>
    <t>北葛飾郡松伏町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</si>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</sst>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086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styles" Target="style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pivotCacheDefinition" Target="pivotCache/pivotCacheDefinition2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pivotCacheDefinition" Target="pivotCache/pivotCacheDefinition3.xml"/><Relationship Id="rId86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47798032408" createdVersion="5" refreshedVersion="8" minRefreshableVersion="3" recordCount="1110" xr:uid="{F57BB2A9-5B29-46F1-AE7A-91F16906E219}">
  <cacheSource type="external" connectionId="1"/>
  <cacheFields count="11">
    <cacheField name="都道府県" numFmtId="0" sqlType="-9">
      <sharedItems count="1">
        <s v="11 埼玉県"/>
      </sharedItems>
    </cacheField>
    <cacheField name="自治体名" numFmtId="0" sqlType="-9">
      <sharedItems/>
    </cacheField>
    <cacheField name="自治体" numFmtId="0" sqlType="-9">
      <sharedItems count="74">
        <s v="11000 埼玉県"/>
        <s v="11100 さいたま市"/>
        <s v="11101 さいたま市西区"/>
        <s v="11102 さいたま市北区"/>
        <s v="11103 さいたま市大宮区"/>
        <s v="11104 さいたま市見沼区"/>
        <s v="11105 さいたま市中央区"/>
        <s v="11106 さいたま市桜区"/>
        <s v="11107 さいたま市浦和区"/>
        <s v="11108 さいたま市南区"/>
        <s v="11109 さいたま市緑区"/>
        <s v="11110 さいたま市岩槻区"/>
        <s v="11201 川越市"/>
        <s v="11202 熊谷市"/>
        <s v="11203 川口市"/>
        <s v="11206 行田市"/>
        <s v="11207 秩父市"/>
        <s v="11208 所沢市"/>
        <s v="11209 飯能市"/>
        <s v="11210 加須市"/>
        <s v="11211 本庄市"/>
        <s v="11212 東松山市"/>
        <s v="11214 春日部市"/>
        <s v="11215 狭山市"/>
        <s v="11216 羽生市"/>
        <s v="11217 鴻巣市"/>
        <s v="11218 深谷市"/>
        <s v="11219 上尾市"/>
        <s v="11221 草加市"/>
        <s v="11222 越谷市"/>
        <s v="11223 蕨市"/>
        <s v="11224 戸田市"/>
        <s v="11225 入間市"/>
        <s v="11227 朝霞市"/>
        <s v="11228 志木市"/>
        <s v="11229 和光市"/>
        <s v="11230 新座市"/>
        <s v="11231 桶川市"/>
        <s v="11232 久喜市"/>
        <s v="11233 北本市"/>
        <s v="11234 八潮市"/>
        <s v="11235 富士見市"/>
        <s v="11237 三郷市"/>
        <s v="11238 蓮田市"/>
        <s v="11239 坂戸市"/>
        <s v="11240 幸手市"/>
        <s v="11241 鶴ヶ島市"/>
        <s v="11242 日高市"/>
        <s v="11243 吉川市"/>
        <s v="11245 ふじみ野市"/>
        <s v="11246 白岡市"/>
        <s v="11301 北足立郡伊奈町"/>
        <s v="11324 入間郡三芳町"/>
        <s v="11326 入間郡毛呂山町"/>
        <s v="11327 入間郡越生町"/>
        <s v="11341 比企郡滑川町"/>
        <s v="11342 比企郡嵐山町"/>
        <s v="11343 比企郡小川町"/>
        <s v="11346 比企郡川島町"/>
        <s v="11347 比企郡吉見町"/>
        <s v="11348 比企郡鳩山町"/>
        <s v="11349 比企郡ときがわ町"/>
        <s v="11361 秩父郡横瀬町"/>
        <s v="11362 秩父郡皆野町"/>
        <s v="11363 秩父郡長瀞町"/>
        <s v="11365 秩父郡小鹿野町"/>
        <s v="11369 秩父郡東秩父村"/>
        <s v="11381 児玉郡美里町"/>
        <s v="11383 児玉郡神川町"/>
        <s v="11385 児玉郡上里町"/>
        <s v="11408 大里郡寄居町"/>
        <s v="11442 南埼玉郡宮代町"/>
        <s v="11464 北葛飾郡杉戸町"/>
        <s v="11465 北葛飾郡松伏町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25935"/>
    </cacheField>
    <cacheField name="構成比" numFmtId="0" sqlType="3">
      <sharedItems containsSemiMixedTypes="0" containsString="0" containsNumber="1" minValue="0" maxValue="33.35"/>
    </cacheField>
    <cacheField name="総数（個人）" numFmtId="0" sqlType="4">
      <sharedItems containsSemiMixedTypes="0" containsString="0" containsNumber="1" containsInteger="1" minValue="0" maxValue="11753"/>
    </cacheField>
    <cacheField name="構成比（個人）" numFmtId="0" sqlType="3">
      <sharedItems containsSemiMixedTypes="0" containsString="0" containsNumber="1" minValue="0" maxValue="30.81"/>
    </cacheField>
    <cacheField name="総数（法人）" numFmtId="0" sqlType="4">
      <sharedItems containsSemiMixedTypes="0" containsString="0" containsNumber="1" containsInteger="1" minValue="0" maxValue="16326"/>
    </cacheField>
    <cacheField name="構成比（法人）" numFmtId="0" sqlType="3">
      <sharedItems containsSemiMixedTypes="0" containsString="0" containsNumber="1" minValue="0" maxValue="40.94"/>
    </cacheField>
    <cacheField name="総数（法人以外の団体）" numFmtId="0" sqlType="4">
      <sharedItems containsSemiMixedTypes="0" containsString="0" containsNumber="1" containsInteger="1" minValue="0" maxValue="33" count="13">
        <n v="0"/>
        <n v="3"/>
        <n v="2"/>
        <n v="4"/>
        <n v="12"/>
        <n v="15"/>
        <n v="6"/>
        <n v="5"/>
        <n v="9"/>
        <n v="10"/>
        <n v="16"/>
        <n v="33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47919560182" createdVersion="5" refreshedVersion="8" minRefreshableVersion="3" recordCount="1559" xr:uid="{2AD09CE2-79B9-4029-8766-D80ABD60D953}">
  <cacheSource type="external" connectionId="2"/>
  <cacheFields count="14">
    <cacheField name="都道府県" numFmtId="0" sqlType="-9">
      <sharedItems count="1">
        <s v="11 埼玉県"/>
      </sharedItems>
    </cacheField>
    <cacheField name="自治体名" numFmtId="0" sqlType="-9">
      <sharedItems count="74">
        <s v="埼玉県"/>
        <s v="さいたま市"/>
        <s v="さいたま市西区"/>
        <s v="さいたま市北区"/>
        <s v="さいたま市大宮区"/>
        <s v="さいたま市見沼区"/>
        <s v="さいたま市中央区"/>
        <s v="さいたま市桜区"/>
        <s v="さいたま市浦和区"/>
        <s v="さいたま市南区"/>
        <s v="さいたま市緑区"/>
        <s v="さいたま市岩槻区"/>
        <s v="川越市"/>
        <s v="熊谷市"/>
        <s v="川口市"/>
        <s v="行田市"/>
        <s v="秩父市"/>
        <s v="所沢市"/>
        <s v="飯能市"/>
        <s v="加須市"/>
        <s v="本庄市"/>
        <s v="東松山市"/>
        <s v="春日部市"/>
        <s v="狭山市"/>
        <s v="羽生市"/>
        <s v="鴻巣市"/>
        <s v="深谷市"/>
        <s v="上尾市"/>
        <s v="草加市"/>
        <s v="越谷市"/>
        <s v="蕨市"/>
        <s v="戸田市"/>
        <s v="入間市"/>
        <s v="朝霞市"/>
        <s v="志木市"/>
        <s v="和光市"/>
        <s v="新座市"/>
        <s v="桶川市"/>
        <s v="久喜市"/>
        <s v="北本市"/>
        <s v="八潮市"/>
        <s v="富士見市"/>
        <s v="三郷市"/>
        <s v="蓮田市"/>
        <s v="坂戸市"/>
        <s v="幸手市"/>
        <s v="鶴ヶ島市"/>
        <s v="日高市"/>
        <s v="吉川市"/>
        <s v="ふじみ野市"/>
        <s v="白岡市"/>
        <s v="北足立郡伊奈町"/>
        <s v="入間郡三芳町"/>
        <s v="入間郡毛呂山町"/>
        <s v="入間郡越生町"/>
        <s v="比企郡滑川町"/>
        <s v="比企郡嵐山町"/>
        <s v="比企郡小川町"/>
        <s v="比企郡川島町"/>
        <s v="比企郡吉見町"/>
        <s v="比企郡鳩山町"/>
        <s v="比企郡ときがわ町"/>
        <s v="秩父郡横瀬町"/>
        <s v="秩父郡皆野町"/>
        <s v="秩父郡長瀞町"/>
        <s v="秩父郡小鹿野町"/>
        <s v="秩父郡東秩父村"/>
        <s v="児玉郡美里町"/>
        <s v="児玉郡神川町"/>
        <s v="児玉郡上里町"/>
        <s v="大里郡寄居町"/>
        <s v="南埼玉郡宮代町"/>
        <s v="北葛飾郡杉戸町"/>
        <s v="北葛飾郡松伏町"/>
      </sharedItems>
    </cacheField>
    <cacheField name="自治体" numFmtId="0" sqlType="-9">
      <sharedItems count="74">
        <s v="11000 埼玉県"/>
        <s v="11100 さいたま市"/>
        <s v="11101 さいたま市西区"/>
        <s v="11102 さいたま市北区"/>
        <s v="11103 さいたま市大宮区"/>
        <s v="11104 さいたま市見沼区"/>
        <s v="11105 さいたま市中央区"/>
        <s v="11106 さいたま市桜区"/>
        <s v="11107 さいたま市浦和区"/>
        <s v="11108 さいたま市南区"/>
        <s v="11109 さいたま市緑区"/>
        <s v="11110 さいたま市岩槻区"/>
        <s v="11201 川越市"/>
        <s v="11202 熊谷市"/>
        <s v="11203 川口市"/>
        <s v="11206 行田市"/>
        <s v="11207 秩父市"/>
        <s v="11208 所沢市"/>
        <s v="11209 飯能市"/>
        <s v="11210 加須市"/>
        <s v="11211 本庄市"/>
        <s v="11212 東松山市"/>
        <s v="11214 春日部市"/>
        <s v="11215 狭山市"/>
        <s v="11216 羽生市"/>
        <s v="11217 鴻巣市"/>
        <s v="11218 深谷市"/>
        <s v="11219 上尾市"/>
        <s v="11221 草加市"/>
        <s v="11222 越谷市"/>
        <s v="11223 蕨市"/>
        <s v="11224 戸田市"/>
        <s v="11225 入間市"/>
        <s v="11227 朝霞市"/>
        <s v="11228 志木市"/>
        <s v="11229 和光市"/>
        <s v="11230 新座市"/>
        <s v="11231 桶川市"/>
        <s v="11232 久喜市"/>
        <s v="11233 北本市"/>
        <s v="11234 八潮市"/>
        <s v="11235 富士見市"/>
        <s v="11237 三郷市"/>
        <s v="11238 蓮田市"/>
        <s v="11239 坂戸市"/>
        <s v="11240 幸手市"/>
        <s v="11241 鶴ヶ島市"/>
        <s v="11242 日高市"/>
        <s v="11243 吉川市"/>
        <s v="11245 ふじみ野市"/>
        <s v="11246 白岡市"/>
        <s v="11301 北足立郡伊奈町"/>
        <s v="11324 入間郡三芳町"/>
        <s v="11326 入間郡毛呂山町"/>
        <s v="11327 入間郡越生町"/>
        <s v="11341 比企郡滑川町"/>
        <s v="11342 比企郡嵐山町"/>
        <s v="11343 比企郡小川町"/>
        <s v="11346 比企郡川島町"/>
        <s v="11347 比企郡吉見町"/>
        <s v="11348 比企郡鳩山町"/>
        <s v="11349 比企郡ときがわ町"/>
        <s v="11361 秩父郡横瀬町"/>
        <s v="11362 秩父郡皆野町"/>
        <s v="11363 秩父郡長瀞町"/>
        <s v="11365 秩父郡小鹿野町"/>
        <s v="11369 秩父郡東秩父村"/>
        <s v="11381 児玉郡美里町"/>
        <s v="11383 児玉郡神川町"/>
        <s v="11385 児玉郡上里町"/>
        <s v="11408 大里郡寄居町"/>
        <s v="11442 南埼玉郡宮代町"/>
        <s v="11464 北葛飾郡杉戸町"/>
        <s v="11465 北葛飾郡松伏町"/>
      </sharedItems>
    </cacheField>
    <cacheField name="産業分類コード" numFmtId="0" sqlType="-8">
      <sharedItems count="58">
        <s v="78"/>
        <s v="76"/>
        <s v="69"/>
        <s v="07"/>
        <s v="06"/>
        <s v="60"/>
        <s v="08"/>
        <s v="82"/>
        <s v="58"/>
        <s v="83"/>
        <s v="72"/>
        <s v="59"/>
        <s v="24"/>
        <s v="74"/>
        <s v="57"/>
        <s v="68"/>
        <s v="79"/>
        <s v="89"/>
        <s v="53"/>
        <s v="54"/>
        <s v="85"/>
        <s v="55"/>
        <s v="92"/>
        <s v="26"/>
        <s v="52"/>
        <s v="61"/>
        <s v="39"/>
        <s v="80"/>
        <s v="32"/>
        <s v="25"/>
        <s v="11"/>
        <s v="18"/>
        <s v="13"/>
        <s v="12"/>
        <s v="15"/>
        <s v="20"/>
        <s v="19"/>
        <s v="77"/>
        <s v="31"/>
        <s v="27"/>
        <s v="29"/>
        <s v="14"/>
        <s v="70"/>
        <s v="09"/>
        <s v="75"/>
        <s v="44"/>
        <s v="21"/>
        <s v="33"/>
        <s v="43"/>
        <s v="90"/>
        <s v="28"/>
        <s v="22"/>
        <s v="30"/>
        <s v="36"/>
        <s v="41"/>
        <s v="48"/>
        <s v="95"/>
        <s v="23"/>
      </sharedItems>
    </cacheField>
    <cacheField name="産業分類" numFmtId="0" sqlType="-9">
      <sharedItems count="58">
        <s v="洗濯・理容・美容・浴場業"/>
        <s v="飲食店"/>
        <s v="不動産賃貸業・管理業"/>
        <s v="職別工事業（設備工事業を除く）"/>
        <s v="総合工事業"/>
        <s v="その他の小売業"/>
        <s v="設備工事業"/>
        <s v="その他の教育，学習支援業"/>
        <s v="飲食料品小売業"/>
        <s v="医療業"/>
        <s v="専門サービス業（他に分類されないもの）"/>
        <s v="機械器具小売業"/>
        <s v="金属製品製造業"/>
        <s v="技術サービス業（他に分類されないもの）"/>
        <s v="織物・衣服・身の回り品小売業"/>
        <s v="不動産取引業"/>
        <s v="その他の生活関連サービス業"/>
        <s v="自動車整備業"/>
        <s v="建築材料，鉱物・金属材料等卸売業"/>
        <s v="機械器具卸売業"/>
        <s v="社会保険・社会福祉・介護事業"/>
        <s v="その他の卸売業"/>
        <s v="その他の事業サービス業"/>
        <s v="生産用機械器具製造業"/>
        <s v="飲食料品卸売業"/>
        <s v="無店舗小売業"/>
        <s v="情報サービス業"/>
        <s v="娯楽業"/>
        <s v="その他の製造業"/>
        <s v="はん用機械器具製造業"/>
        <s v="繊維工業"/>
        <s v="プラスチック製品製造業（別掲を除く）"/>
        <s v="家具・装備品製造業"/>
        <s v="木材・木製品製造業（家具を除く）"/>
        <s v="印刷・同関連業"/>
        <s v="なめし革・同製品・毛皮製造業"/>
        <s v="ゴム製品製造業"/>
        <s v="持ち帰り・配達飲食サービス業"/>
        <s v="輸送用機械器具製造業"/>
        <s v="業務用機械器具製造業"/>
        <s v="電気機械器具製造業"/>
        <s v="パルプ・紙・紙加工品製造業"/>
        <s v="物品賃貸業"/>
        <s v="食料品製造業"/>
        <s v="宿泊業"/>
        <s v="道路貨物運送業"/>
        <s v="窯業・土石製品製造業"/>
        <s v="電気業"/>
        <s v="道路旅客運送業"/>
        <s v="機械等修理業（別掲を除く）"/>
        <s v="電子部品・デバイス・電子回路製造業"/>
        <s v="鉄鋼業"/>
        <s v="情報通信機械器具製造業"/>
        <s v="水道業"/>
        <s v="映像・音声・文字情報制作業"/>
        <s v="運輸に附帯するサービス業"/>
        <s v="その他のサービス業"/>
        <s v="非鉄金属製造業"/>
      </sharedItems>
    </cacheField>
    <cacheField name="産業中分類" numFmtId="0" sqlType="-9">
      <sharedItems count="58">
        <s v="78 洗濯・理容・美容・浴場業"/>
        <s v="76 飲食店"/>
        <s v="69 不動産賃貸業・管理業"/>
        <s v="07 職別工事業（設備工事業を除く）"/>
        <s v="06 総合工事業"/>
        <s v="60 その他の小売業"/>
        <s v="08 設備工事業"/>
        <s v="82 その他の教育，学習支援業"/>
        <s v="58 飲食料品小売業"/>
        <s v="83 医療業"/>
        <s v="72 専門サービス業（他に分類されないもの）"/>
        <s v="59 機械器具小売業"/>
        <s v="24 金属製品製造業"/>
        <s v="74 技術サービス業（他に分類されないもの）"/>
        <s v="57 織物・衣服・身の回り品小売業"/>
        <s v="68 不動産取引業"/>
        <s v="79 その他の生活関連サービス業"/>
        <s v="89 自動車整備業"/>
        <s v="53 建築材料，鉱物・金属材料等卸売業"/>
        <s v="54 機械器具卸売業"/>
        <s v="85 社会保険・社会福祉・介護事業"/>
        <s v="55 その他の卸売業"/>
        <s v="92 その他の事業サービス業"/>
        <s v="26 生産用機械器具製造業"/>
        <s v="52 飲食料品卸売業"/>
        <s v="61 無店舗小売業"/>
        <s v="39 情報サービス業"/>
        <s v="80 娯楽業"/>
        <s v="32 その他の製造業"/>
        <s v="25 はん用機械器具製造業"/>
        <s v="11 繊維工業"/>
        <s v="18 プラスチック製品製造業（別掲を除く）"/>
        <s v="13 家具・装備品製造業"/>
        <s v="12 木材・木製品製造業（家具を除く）"/>
        <s v="15 印刷・同関連業"/>
        <s v="20 なめし革・同製品・毛皮製造業"/>
        <s v="19 ゴム製品製造業"/>
        <s v="77 持ち帰り・配達飲食サービス業"/>
        <s v="31 輸送用機械器具製造業"/>
        <s v="27 業務用機械器具製造業"/>
        <s v="29 電気機械器具製造業"/>
        <s v="14 パルプ・紙・紙加工品製造業"/>
        <s v="70 物品賃貸業"/>
        <s v="09 食料品製造業"/>
        <s v="75 宿泊業"/>
        <s v="44 道路貨物運送業"/>
        <s v="21 窯業・土石製品製造業"/>
        <s v="33 電気業"/>
        <s v="43 道路旅客運送業"/>
        <s v="90 機械等修理業（別掲を除く）"/>
        <s v="28 電子部品・デバイス・電子回路製造業"/>
        <s v="22 鉄鋼業"/>
        <s v="30 情報通信機械器具製造業"/>
        <s v="36 水道業"/>
        <s v="41 映像・音声・文字情報制作業"/>
        <s v="48 運輸に附帯するサービス業"/>
        <s v="95 その他のサービス業"/>
        <s v="23 非鉄金属製造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12812" count="317">
        <n v="12812"/>
        <n v="11503"/>
        <n v="11334"/>
        <n v="7835"/>
        <n v="7819"/>
        <n v="6958"/>
        <n v="5567"/>
        <n v="5324"/>
        <n v="4887"/>
        <n v="4875"/>
        <n v="3884"/>
        <n v="3566"/>
        <n v="2888"/>
        <n v="2751"/>
        <n v="2547"/>
        <n v="2448"/>
        <n v="2207"/>
        <n v="1940"/>
        <n v="1887"/>
        <n v="1860"/>
        <n v="2192"/>
        <n v="1916"/>
        <n v="1631"/>
        <n v="1089"/>
        <n v="1071"/>
        <n v="989"/>
        <n v="957"/>
        <n v="942"/>
        <n v="855"/>
        <n v="838"/>
        <n v="654"/>
        <n v="611"/>
        <n v="516"/>
        <n v="432"/>
        <n v="411"/>
        <n v="389"/>
        <n v="381"/>
        <n v="357"/>
        <n v="325"/>
        <n v="292"/>
        <n v="109"/>
        <n v="97"/>
        <n v="86"/>
        <n v="83"/>
        <n v="78"/>
        <n v="52"/>
        <n v="48"/>
        <n v="44"/>
        <n v="41"/>
        <n v="31"/>
        <n v="29"/>
        <n v="28"/>
        <n v="27"/>
        <n v="22"/>
        <n v="20"/>
        <n v="19"/>
        <n v="16"/>
        <n v="253"/>
        <n v="224"/>
        <n v="183"/>
        <n v="129"/>
        <n v="121"/>
        <n v="102"/>
        <n v="85"/>
        <n v="84"/>
        <n v="67"/>
        <n v="66"/>
        <n v="60"/>
        <n v="53"/>
        <n v="47"/>
        <n v="40"/>
        <n v="37"/>
        <n v="35"/>
        <n v="33"/>
        <n v="365"/>
        <n v="320"/>
        <n v="247"/>
        <n v="198"/>
        <n v="146"/>
        <n v="136"/>
        <n v="131"/>
        <n v="122"/>
        <n v="111"/>
        <n v="107"/>
        <n v="95"/>
        <n v="89"/>
        <n v="74"/>
        <n v="72"/>
        <n v="50"/>
        <n v="46"/>
        <n v="45"/>
        <n v="220"/>
        <n v="186"/>
        <n v="158"/>
        <n v="145"/>
        <n v="132"/>
        <n v="119"/>
        <n v="115"/>
        <n v="92"/>
        <n v="58"/>
        <n v="49"/>
        <n v="42"/>
        <n v="38"/>
        <n v="34"/>
        <n v="166"/>
        <n v="148"/>
        <n v="120"/>
        <n v="75"/>
        <n v="69"/>
        <n v="62"/>
        <n v="56"/>
        <n v="26"/>
        <n v="24"/>
        <n v="23"/>
        <n v="171"/>
        <n v="124"/>
        <n v="113"/>
        <n v="93"/>
        <n v="39"/>
        <n v="25"/>
        <n v="21"/>
        <n v="340"/>
        <n v="304"/>
        <n v="289"/>
        <n v="226"/>
        <n v="187"/>
        <n v="182"/>
        <n v="161"/>
        <n v="118"/>
        <n v="108"/>
        <n v="104"/>
        <n v="356"/>
        <n v="238"/>
        <n v="176"/>
        <n v="137"/>
        <n v="128"/>
        <n v="110"/>
        <n v="105"/>
        <n v="59"/>
        <n v="140"/>
        <n v="114"/>
        <n v="103"/>
        <n v="80"/>
        <n v="76"/>
        <n v="73"/>
        <n v="32"/>
        <n v="30"/>
        <n v="203"/>
        <n v="168"/>
        <n v="147"/>
        <n v="144"/>
        <n v="133"/>
        <n v="117"/>
        <n v="55"/>
        <n v="542"/>
        <n v="525"/>
        <n v="422"/>
        <n v="310"/>
        <n v="302"/>
        <n v="285"/>
        <n v="259"/>
        <n v="244"/>
        <n v="236"/>
        <n v="163"/>
        <n v="143"/>
        <n v="134"/>
        <n v="106"/>
        <n v="90"/>
        <n v="79"/>
        <n v="484"/>
        <n v="466"/>
        <n v="300"/>
        <n v="296"/>
        <n v="270"/>
        <n v="235"/>
        <n v="210"/>
        <n v="165"/>
        <n v="153"/>
        <n v="96"/>
        <n v="77"/>
        <n v="70"/>
        <n v="1140"/>
        <n v="926"/>
        <n v="854"/>
        <n v="729"/>
        <n v="591"/>
        <n v="580"/>
        <n v="519"/>
        <n v="512"/>
        <n v="468"/>
        <n v="383"/>
        <n v="355"/>
        <n v="343"/>
        <n v="271"/>
        <n v="222"/>
        <n v="213"/>
        <n v="201"/>
        <n v="191"/>
        <n v="177"/>
        <n v="204"/>
        <n v="87"/>
        <n v="64"/>
        <n v="283"/>
        <n v="68"/>
        <n v="65"/>
        <n v="522"/>
        <n v="409"/>
        <n v="369"/>
        <n v="337"/>
        <n v="288"/>
        <n v="221"/>
        <n v="199"/>
        <n v="197"/>
        <n v="126"/>
        <n v="194"/>
        <n v="156"/>
        <n v="99"/>
        <n v="98"/>
        <n v="82"/>
        <n v="241"/>
        <n v="142"/>
        <n v="36"/>
        <n v="228"/>
        <n v="57"/>
        <n v="230"/>
        <n v="125"/>
        <n v="521"/>
        <n v="452"/>
        <n v="314"/>
        <n v="242"/>
        <n v="189"/>
        <n v="150"/>
        <n v="127"/>
        <n v="266"/>
        <n v="258"/>
        <n v="218"/>
        <n v="151"/>
        <n v="123"/>
        <n v="112"/>
        <n v="51"/>
        <n v="71"/>
        <n v="43"/>
        <n v="157"/>
        <n v="135"/>
        <n v="330"/>
        <n v="281"/>
        <n v="209"/>
        <n v="81"/>
        <n v="379"/>
        <n v="375"/>
        <n v="217"/>
        <n v="178"/>
        <n v="164"/>
        <n v="152"/>
        <n v="54"/>
        <n v="384"/>
        <n v="374"/>
        <n v="364"/>
        <n v="284"/>
        <n v="208"/>
        <n v="169"/>
        <n v="149"/>
        <n v="141"/>
        <n v="94"/>
        <n v="63"/>
        <n v="618"/>
        <n v="598"/>
        <n v="347"/>
        <n v="323"/>
        <n v="315"/>
        <n v="273"/>
        <n v="249"/>
        <n v="231"/>
        <n v="193"/>
        <n v="190"/>
        <n v="180"/>
        <n v="162"/>
        <n v="192"/>
        <n v="524"/>
        <n v="172"/>
        <n v="174"/>
        <n v="211"/>
        <n v="170"/>
        <n v="100"/>
        <n v="61"/>
        <n v="18"/>
        <n v="17"/>
        <n v="14"/>
        <n v="13"/>
        <n v="246"/>
        <n v="223"/>
        <n v="215"/>
        <n v="15"/>
        <n v="173"/>
        <n v="130"/>
        <n v="212"/>
        <n v="206"/>
        <n v="348"/>
        <n v="219"/>
        <n v="12"/>
        <n v="155"/>
        <n v="139"/>
        <n v="101"/>
        <n v="116"/>
        <n v="200"/>
        <n v="175"/>
        <n v="11"/>
        <n v="10"/>
        <n v="9"/>
        <n v="7"/>
        <n v="6"/>
        <n v="5"/>
        <n v="4"/>
        <n v="3"/>
        <n v="8"/>
        <n v="2"/>
        <n v="1"/>
      </sharedItems>
    </cacheField>
    <cacheField name="構成比" numFmtId="0" sqlType="3">
      <sharedItems containsSemiMixedTypes="0" containsString="0" containsNumber="1" minValue="0.9" maxValue="17.96" count="641">
        <n v="9.61"/>
        <n v="8.6300000000000008"/>
        <n v="8.5"/>
        <n v="5.88"/>
        <n v="5.87"/>
        <n v="5.22"/>
        <n v="4.18"/>
        <n v="3.99"/>
        <n v="3.67"/>
        <n v="3.66"/>
        <n v="2.91"/>
        <n v="2.68"/>
        <n v="2.17"/>
        <n v="2.06"/>
        <n v="1.91"/>
        <n v="1.84"/>
        <n v="1.66"/>
        <n v="1.46"/>
        <n v="1.42"/>
        <n v="1.4"/>
        <n v="10.51"/>
        <n v="9.18"/>
        <n v="7.82"/>
        <n v="5.13"/>
        <n v="4.74"/>
        <n v="4.59"/>
        <n v="4.51"/>
        <n v="4.0999999999999996"/>
        <n v="4.0199999999999996"/>
        <n v="3.13"/>
        <n v="2.93"/>
        <n v="2.4700000000000002"/>
        <n v="2.0699999999999998"/>
        <n v="1.97"/>
        <n v="1.86"/>
        <n v="1.83"/>
        <n v="1.71"/>
        <n v="1.56"/>
        <n v="9.4"/>
        <n v="8.36"/>
        <n v="7.41"/>
        <n v="7.16"/>
        <n v="6.72"/>
        <n v="4.4800000000000004"/>
        <n v="4.1399999999999997"/>
        <n v="3.79"/>
        <n v="3.53"/>
        <n v="2.67"/>
        <n v="2.5"/>
        <n v="2.41"/>
        <n v="2.33"/>
        <n v="1.9"/>
        <n v="1.72"/>
        <n v="1.64"/>
        <n v="1.38"/>
        <n v="11.29"/>
        <n v="10"/>
        <n v="8.17"/>
        <n v="5.76"/>
        <n v="5.4"/>
        <n v="4.8600000000000003"/>
        <n v="4.55"/>
        <n v="3.75"/>
        <n v="2.99"/>
        <n v="2.95"/>
        <n v="2.37"/>
        <n v="2.1"/>
        <n v="1.78"/>
        <n v="1.65"/>
        <n v="1.47"/>
        <n v="12.17"/>
        <n v="10.67"/>
        <n v="8.23"/>
        <n v="6.6"/>
        <n v="4.87"/>
        <n v="4.53"/>
        <n v="4.37"/>
        <n v="4.07"/>
        <n v="3.7"/>
        <n v="3.57"/>
        <n v="3.17"/>
        <n v="2.97"/>
        <n v="2.4"/>
        <n v="1.67"/>
        <n v="1.57"/>
        <n v="1.53"/>
        <n v="1.5"/>
        <n v="9.73"/>
        <n v="8.2200000000000006"/>
        <n v="6.98"/>
        <n v="6.41"/>
        <n v="5.84"/>
        <n v="5.26"/>
        <n v="5.08"/>
        <n v="3.76"/>
        <n v="3.45"/>
        <n v="2.96"/>
        <n v="2.56"/>
        <n v="1.81"/>
        <n v="1.68"/>
        <n v="1.24"/>
        <n v="10.79"/>
        <n v="9.6199999999999992"/>
        <n v="7.8"/>
        <n v="6.95"/>
        <n v="4.68"/>
        <n v="4.03"/>
        <n v="3.64"/>
        <n v="3.18"/>
        <n v="3.05"/>
        <n v="2.27"/>
        <n v="1.69"/>
        <n v="1.49"/>
        <n v="12.27"/>
        <n v="8.9"/>
        <n v="8.11"/>
        <n v="6.67"/>
        <n v="5.95"/>
        <n v="5.6"/>
        <n v="2.87"/>
        <n v="2.8"/>
        <n v="2.0099999999999998"/>
        <n v="1.87"/>
        <n v="1.79"/>
        <n v="1.51"/>
        <n v="1.43"/>
        <n v="11.68"/>
        <n v="10.45"/>
        <n v="9.93"/>
        <n v="7.77"/>
        <n v="6.43"/>
        <n v="6.25"/>
        <n v="5.53"/>
        <n v="4.05"/>
        <n v="3.71"/>
        <n v="2.89"/>
        <n v="1.31"/>
        <n v="1.27"/>
        <n v="1.2"/>
        <n v="14.05"/>
        <n v="5.41"/>
        <n v="5.05"/>
        <n v="4.82"/>
        <n v="4.34"/>
        <n v="4.26"/>
        <n v="4.1500000000000004"/>
        <n v="3.51"/>
        <n v="2.65"/>
        <n v="1.82"/>
        <n v="1.74"/>
        <n v="1.58"/>
        <n v="8.98"/>
        <n v="7.83"/>
        <n v="7.31"/>
        <n v="6.61"/>
        <n v="3.59"/>
        <n v="3.4"/>
        <n v="3.01"/>
        <n v="2.82"/>
        <n v="2.57"/>
        <n v="2.44"/>
        <n v="2.0499999999999998"/>
        <n v="1.99"/>
        <n v="1.92"/>
        <n v="8.9600000000000009"/>
        <n v="6.49"/>
        <n v="6.35"/>
        <n v="5.16"/>
        <n v="4.72"/>
        <n v="3.31"/>
        <n v="2.4300000000000002"/>
        <n v="2.34"/>
        <n v="2.16"/>
        <n v="1.94"/>
        <n v="1.85"/>
        <n v="1.63"/>
        <n v="9.24"/>
        <n v="8.9499999999999993"/>
        <n v="7.19"/>
        <n v="6.08"/>
        <n v="5.28"/>
        <n v="5.15"/>
        <n v="4.41"/>
        <n v="4.16"/>
        <n v="3.82"/>
        <n v="2.78"/>
        <n v="2.3199999999999998"/>
        <n v="2.2799999999999998"/>
        <n v="1.35"/>
        <n v="10.27"/>
        <n v="6.52"/>
        <n v="5.18"/>
        <n v="4.63"/>
        <n v="3.48"/>
        <n v="3.37"/>
        <n v="2.31"/>
        <n v="2.12"/>
        <n v="1.7"/>
        <n v="1.59"/>
        <n v="1.54"/>
        <n v="1.52"/>
        <n v="7.81"/>
        <n v="7.2"/>
        <n v="6.15"/>
        <n v="4.9800000000000004"/>
        <n v="4.8899999999999997"/>
        <n v="4.38"/>
        <n v="4.32"/>
        <n v="3.95"/>
        <n v="3.23"/>
        <n v="1.8"/>
        <n v="1.77"/>
        <n v="1.61"/>
        <n v="11.32"/>
        <n v="9.16"/>
        <n v="6.16"/>
        <n v="5.72"/>
        <n v="4.83"/>
        <n v="4.33"/>
        <n v="4"/>
        <n v="3.83"/>
        <n v="3.55"/>
        <n v="3.33"/>
        <n v="2.5499999999999998"/>
        <n v="1.39"/>
        <n v="1.33"/>
        <n v="14.17"/>
        <n v="11.22"/>
        <n v="6.01"/>
        <n v="5.71"/>
        <n v="5.46"/>
        <n v="3.41"/>
        <n v="3.3"/>
        <n v="3.25"/>
        <n v="2.4500000000000002"/>
        <n v="2.25"/>
        <n v="2"/>
        <n v="1.6"/>
        <n v="1.45"/>
        <n v="9.85"/>
        <n v="9.14"/>
        <n v="7.72"/>
        <n v="6.96"/>
        <n v="6.36"/>
        <n v="5.44"/>
        <n v="4.49"/>
        <n v="4.17"/>
        <n v="3.96"/>
        <n v="3.72"/>
        <n v="2.59"/>
        <n v="2.38"/>
        <n v="1.96"/>
        <n v="1.26"/>
        <n v="11.1"/>
        <n v="8.93"/>
        <n v="6.53"/>
        <n v="6.47"/>
        <n v="5.67"/>
        <n v="5.61"/>
        <n v="4.6900000000000004"/>
        <n v="3.38"/>
        <n v="2.86"/>
        <n v="2.75"/>
        <n v="2.69"/>
        <n v="1.89"/>
        <n v="1.37"/>
        <n v="1.1399999999999999"/>
        <n v="1.0900000000000001"/>
        <n v="11.11"/>
        <n v="8.16"/>
        <n v="7.05"/>
        <n v="6.55"/>
        <n v="6.45"/>
        <n v="4.93"/>
        <n v="4.7"/>
        <n v="3.92"/>
        <n v="1.75"/>
        <n v="1.48"/>
        <n v="12.06"/>
        <n v="11.85"/>
        <n v="4.3899999999999997"/>
        <n v="3.86"/>
        <n v="3.44"/>
        <n v="3.02"/>
        <n v="1.22"/>
        <n v="1.01"/>
        <n v="12.11"/>
        <n v="11.21"/>
        <n v="6.74"/>
        <n v="6.58"/>
        <n v="5.37"/>
        <n v="4.42"/>
        <n v="3.58"/>
        <n v="2.21"/>
        <n v="12.39"/>
        <n v="10.75"/>
        <n v="7.47"/>
        <n v="4.5"/>
        <n v="4.3499999999999996"/>
        <n v="3.26"/>
        <n v="3.16"/>
        <n v="2.19"/>
        <n v="1.62"/>
        <n v="10.29"/>
        <n v="9.98"/>
        <n v="8.44"/>
        <n v="5.42"/>
        <n v="4.99"/>
        <n v="4.76"/>
        <n v="2.94"/>
        <n v="2.9"/>
        <n v="2.52"/>
        <n v="1.28"/>
        <n v="1.08"/>
        <n v="10.220000000000001"/>
        <n v="8.7799999999999994"/>
        <n v="6.93"/>
        <n v="6"/>
        <n v="5.66"/>
        <n v="5.24"/>
        <n v="3.63"/>
        <n v="2.7"/>
        <n v="2.2000000000000002"/>
        <n v="12.35"/>
        <n v="8.01"/>
        <n v="6.89"/>
        <n v="6.69"/>
        <n v="4.9000000000000004"/>
        <n v="4.29"/>
        <n v="3.93"/>
        <n v="3.78"/>
        <n v="3.06"/>
        <n v="2.6"/>
        <n v="2.14"/>
        <n v="2.09"/>
        <n v="9.64"/>
        <n v="7.55"/>
        <n v="7.17"/>
        <n v="5.25"/>
        <n v="4.25"/>
        <n v="4.08"/>
        <n v="3.74"/>
        <n v="2.2999999999999998"/>
        <n v="1.44"/>
        <n v="1.34"/>
        <n v="10.55"/>
        <n v="9.15"/>
        <n v="6.11"/>
        <n v="5.32"/>
        <n v="5.01"/>
        <n v="4.62"/>
        <n v="4.28"/>
        <n v="3.24"/>
        <n v="2.0299999999999998"/>
        <n v="1.41"/>
        <n v="1.29"/>
        <n v="9.0299999999999994"/>
        <n v="8.7899999999999991"/>
        <n v="8.56"/>
        <n v="6.68"/>
        <n v="3.97"/>
        <n v="3.88"/>
        <n v="3.5"/>
        <n v="1.76"/>
        <n v="1.55"/>
        <n v="10.69"/>
        <n v="10.35"/>
        <n v="5.59"/>
        <n v="5.45"/>
        <n v="4.3099999999999996"/>
        <n v="3.34"/>
        <n v="3.29"/>
        <n v="3.11"/>
        <n v="2.42"/>
        <n v="14.06"/>
        <n v="12.44"/>
        <n v="10.5"/>
        <n v="5.12"/>
        <n v="5.0599999999999996"/>
        <n v="3.69"/>
        <n v="1.3"/>
        <n v="1.04"/>
        <n v="17.96"/>
        <n v="7.13"/>
        <n v="5.9"/>
        <n v="5.14"/>
        <n v="3.94"/>
        <n v="3.77"/>
        <n v="3.09"/>
        <n v="2.98"/>
        <n v="2.71"/>
        <n v="2.2599999999999998"/>
        <n v="9.69"/>
        <n v="8.25"/>
        <n v="6.24"/>
        <n v="5.2"/>
        <n v="3.91"/>
        <n v="3.84"/>
        <n v="2.2200000000000002"/>
        <n v="1.36"/>
        <n v="10.42"/>
        <n v="8.89"/>
        <n v="8.4"/>
        <n v="8.0500000000000007"/>
        <n v="6.77"/>
        <n v="5.23"/>
        <n v="3.85"/>
        <n v="3.56"/>
        <n v="1.88"/>
        <n v="14.64"/>
        <n v="8.61"/>
        <n v="6.03"/>
        <n v="4.78"/>
        <n v="4.2300000000000004"/>
        <n v="3.68"/>
        <n v="3.52"/>
        <n v="3.21"/>
        <n v="2.04"/>
        <n v="13.33"/>
        <n v="9.92"/>
        <n v="5.39"/>
        <n v="5.29"/>
        <n v="4.4400000000000004"/>
        <n v="2.84"/>
        <n v="2.36"/>
        <n v="1.32"/>
        <n v="1.23"/>
        <n v="9.06"/>
        <n v="8.2100000000000009"/>
        <n v="7.92"/>
        <n v="7.73"/>
        <n v="6.04"/>
        <n v="3.46"/>
        <n v="3.43"/>
        <n v="2.73"/>
        <n v="2.62"/>
        <n v="1.95"/>
        <n v="1.73"/>
        <n v="11.6"/>
        <n v="9.51"/>
        <n v="8.1199999999999992"/>
        <n v="5.96"/>
        <n v="5.34"/>
        <n v="2.63"/>
        <n v="1.1599999999999999"/>
        <n v="12.19"/>
        <n v="7.53"/>
        <n v="7.38"/>
        <n v="6.29"/>
        <n v="4.04"/>
        <n v="2.02"/>
        <n v="12.56"/>
        <n v="7.96"/>
        <n v="7.34"/>
        <n v="5.75"/>
        <n v="4.24"/>
        <n v="2.74"/>
        <n v="2.48"/>
        <n v="2.39"/>
        <n v="7.43"/>
        <n v="5.0199999999999996"/>
        <n v="4.45"/>
        <n v="2.15"/>
        <n v="12.76"/>
        <n v="12.4"/>
        <n v="11.38"/>
        <n v="6.26"/>
        <n v="4.21"/>
        <n v="3.61"/>
        <n v="3.07"/>
        <n v="2.83"/>
        <n v="1.02"/>
        <n v="0.96"/>
        <n v="11.28"/>
        <n v="7.1"/>
        <n v="6.23"/>
        <n v="6.13"/>
        <n v="1.98"/>
        <n v="10.58"/>
        <n v="7.62"/>
        <n v="7.52"/>
        <n v="5.74"/>
        <n v="4.75"/>
        <n v="2.1800000000000002"/>
        <n v="1.19"/>
        <n v="12.37"/>
        <n v="12.24"/>
        <n v="5.99"/>
        <n v="5.73"/>
        <n v="4.96"/>
        <n v="2.58"/>
        <n v="2.5099999999999998"/>
        <n v="0.97"/>
        <n v="0.9"/>
        <n v="12.97"/>
        <n v="9.3699999999999992"/>
        <n v="9.2100000000000009"/>
        <n v="6.44"/>
        <n v="5.69"/>
        <n v="3.35"/>
        <n v="1"/>
        <n v="9.91"/>
        <n v="6.75"/>
        <n v="5.09"/>
        <n v="4.5599999999999996"/>
        <n v="1.93"/>
        <n v="1.05"/>
        <n v="9.1300000000000008"/>
        <n v="8.24"/>
        <n v="6.97"/>
        <n v="4.6100000000000003"/>
        <n v="1.18"/>
        <n v="9.4600000000000009"/>
        <n v="6.2"/>
        <n v="5.38"/>
        <n v="2.77"/>
        <n v="11.98"/>
        <n v="10.48"/>
        <n v="8.14"/>
        <n v="5.51"/>
        <n v="5.33"/>
        <n v="4.79"/>
        <n v="4.01"/>
        <n v="11.62"/>
        <n v="9.56"/>
        <n v="6.42"/>
        <n v="6.17"/>
        <n v="6.05"/>
        <n v="3.39"/>
        <n v="3.15"/>
        <n v="2.66"/>
        <n v="1.21"/>
        <n v="8.49"/>
        <n v="7.12"/>
        <n v="6.71"/>
        <n v="6.3"/>
        <n v="4.1100000000000003"/>
        <n v="3.42"/>
        <n v="14.5"/>
        <n v="7.94"/>
        <n v="5.04"/>
        <n v="4.92"/>
        <n v="3.28"/>
        <n v="15.91"/>
        <n v="10.9"/>
        <n v="8.1"/>
        <n v="5.3"/>
        <n v="10.26"/>
        <n v="8.94"/>
        <n v="6.62"/>
        <n v="4.6399999999999997"/>
        <n v="4.3"/>
        <n v="0.99"/>
        <n v="14.38"/>
        <n v="10.62"/>
        <n v="6.85"/>
        <n v="6.51"/>
        <n v="1.03"/>
        <n v="10.7"/>
        <n v="10.23"/>
        <n v="9.77"/>
        <n v="8.6"/>
        <n v="5.81"/>
        <n v="5.58"/>
        <n v="4.6500000000000004"/>
        <n v="3.49"/>
        <n v="7.3"/>
        <n v="10.199999999999999"/>
        <n v="9.8000000000000007"/>
        <n v="7.76"/>
        <n v="7.14"/>
        <n v="6.73"/>
        <n v="5.31"/>
        <n v="2.2400000000000002"/>
        <n v="12.63"/>
        <n v="10.86"/>
        <n v="8.33"/>
        <n v="6.82"/>
        <n v="6.06"/>
        <n v="5.56"/>
        <n v="3.54"/>
        <n v="2.5299999999999998"/>
        <n v="10.78"/>
        <n v="7.06"/>
        <n v="4.09"/>
        <n v="2.23"/>
        <n v="12.29"/>
        <n v="9.43"/>
        <n v="8.86"/>
        <n v="7.71"/>
        <n v="5.43"/>
        <n v="4.57"/>
        <n v="2.29"/>
        <n v="14.15"/>
        <n v="8.2899999999999991"/>
        <n v="5.85"/>
        <n v="9.83"/>
        <n v="3.73"/>
        <n v="15.38"/>
        <n v="8.85"/>
        <n v="7.69"/>
        <n v="3.08"/>
        <n v="13.98"/>
        <n v="11.35"/>
        <n v="9.23"/>
        <n v="8.18"/>
        <n v="5.8"/>
        <n v="2.11"/>
        <n v="15"/>
        <n v="8"/>
        <n v="7"/>
        <n v="5"/>
        <n v="3"/>
        <n v="9.7899999999999991"/>
        <n v="6.38"/>
        <n v="2.13"/>
        <n v="13.2"/>
        <n v="9.6"/>
        <n v="9.1999999999999993"/>
        <n v="6.8"/>
        <n v="6.4"/>
        <n v="11.9"/>
        <n v="9.7100000000000009"/>
        <n v="9.34"/>
        <n v="7.33"/>
        <n v="13.13"/>
        <n v="10.53"/>
        <n v="7.11"/>
        <n v="6.57"/>
        <n v="2.46"/>
        <n v="13.94"/>
        <n v="11.97"/>
        <n v="3.03"/>
        <n v="1.06"/>
        <n v="10.14"/>
        <n v="7.29"/>
        <n v="5.47"/>
        <n v="3.19"/>
        <n v="10.65"/>
        <n v="10.16"/>
        <n v="4.84"/>
      </sharedItems>
    </cacheField>
    <cacheField name="総数（個人）" numFmtId="0" sqlType="4">
      <sharedItems containsSemiMixedTypes="0" containsString="0" containsNumber="1" containsInteger="1" minValue="0" maxValue="10464" count="214">
        <n v="10464"/>
        <n v="9566"/>
        <n v="3516"/>
        <n v="2329"/>
        <n v="1656"/>
        <n v="3148"/>
        <n v="907"/>
        <n v="3541"/>
        <n v="3209"/>
        <n v="4183"/>
        <n v="2238"/>
        <n v="1664"/>
        <n v="748"/>
        <n v="833"/>
        <n v="1041"/>
        <n v="206"/>
        <n v="982"/>
        <n v="1172"/>
        <n v="289"/>
        <n v="157"/>
        <n v="512"/>
        <n v="1418"/>
        <n v="1259"/>
        <n v="129"/>
        <n v="418"/>
        <n v="189"/>
        <n v="544"/>
        <n v="503"/>
        <n v="729"/>
        <n v="74"/>
        <n v="328"/>
        <n v="23"/>
        <n v="153"/>
        <n v="3"/>
        <n v="12"/>
        <n v="40"/>
        <n v="101"/>
        <n v="14"/>
        <n v="13"/>
        <n v="20"/>
        <n v="65"/>
        <n v="4"/>
        <n v="21"/>
        <n v="34"/>
        <n v="37"/>
        <n v="15"/>
        <n v="28"/>
        <n v="0"/>
        <n v="9"/>
        <n v="7"/>
        <n v="6"/>
        <n v="1"/>
        <n v="69"/>
        <n v="169"/>
        <n v="145"/>
        <n v="48"/>
        <n v="90"/>
        <n v="49"/>
        <n v="16"/>
        <n v="2"/>
        <n v="18"/>
        <n v="113"/>
        <n v="211"/>
        <n v="166"/>
        <n v="71"/>
        <n v="27"/>
        <n v="104"/>
        <n v="10"/>
        <n v="8"/>
        <n v="178"/>
        <n v="42"/>
        <n v="135"/>
        <n v="24"/>
        <n v="81"/>
        <n v="50"/>
        <n v="78"/>
        <n v="45"/>
        <n v="19"/>
        <n v="55"/>
        <n v="127"/>
        <n v="36"/>
        <n v="93"/>
        <n v="56"/>
        <n v="62"/>
        <n v="30"/>
        <n v="60"/>
        <n v="96"/>
        <n v="100"/>
        <n v="35"/>
        <n v="26"/>
        <n v="61"/>
        <n v="214"/>
        <n v="180"/>
        <n v="150"/>
        <n v="148"/>
        <n v="85"/>
        <n v="11"/>
        <n v="54"/>
        <n v="172"/>
        <n v="139"/>
        <n v="5"/>
        <n v="66"/>
        <n v="44"/>
        <n v="22"/>
        <n v="33"/>
        <n v="29"/>
        <n v="119"/>
        <n v="47"/>
        <n v="59"/>
        <n v="52"/>
        <n v="435"/>
        <n v="404"/>
        <n v="75"/>
        <n v="94"/>
        <n v="170"/>
        <n v="198"/>
        <n v="164"/>
        <n v="72"/>
        <n v="43"/>
        <n v="46"/>
        <n v="393"/>
        <n v="411"/>
        <n v="132"/>
        <n v="87"/>
        <n v="120"/>
        <n v="146"/>
        <n v="114"/>
        <n v="95"/>
        <n v="31"/>
        <n v="280"/>
        <n v="710"/>
        <n v="118"/>
        <n v="247"/>
        <n v="70"/>
        <n v="331"/>
        <n v="221"/>
        <n v="233"/>
        <n v="142"/>
        <n v="76"/>
        <n v="73"/>
        <n v="25"/>
        <n v="177"/>
        <n v="39"/>
        <n v="243"/>
        <n v="207"/>
        <n v="67"/>
        <n v="77"/>
        <n v="64"/>
        <n v="41"/>
        <n v="58"/>
        <n v="398"/>
        <n v="105"/>
        <n v="324"/>
        <n v="203"/>
        <n v="103"/>
        <n v="38"/>
        <n v="168"/>
        <n v="17"/>
        <n v="216"/>
        <n v="79"/>
        <n v="193"/>
        <n v="194"/>
        <n v="32"/>
        <n v="53"/>
        <n v="448"/>
        <n v="415"/>
        <n v="115"/>
        <n v="124"/>
        <n v="219"/>
        <n v="220"/>
        <n v="84"/>
        <n v="91"/>
        <n v="97"/>
        <n v="110"/>
        <n v="204"/>
        <n v="287"/>
        <n v="241"/>
        <n v="109"/>
        <n v="57"/>
        <n v="88"/>
        <n v="133"/>
        <n v="296"/>
        <n v="274"/>
        <n v="321"/>
        <n v="123"/>
        <n v="490"/>
        <n v="505"/>
        <n v="134"/>
        <n v="179"/>
        <n v="199"/>
        <n v="128"/>
        <n v="82"/>
        <n v="136"/>
        <n v="51"/>
        <n v="131"/>
        <n v="225"/>
        <n v="141"/>
        <n v="89"/>
        <n v="176"/>
        <n v="125"/>
        <n v="121"/>
        <n v="86"/>
        <n v="262"/>
        <n v="80"/>
        <n v="68"/>
        <n v="158"/>
        <n v="167"/>
        <n v="162"/>
        <n v="161"/>
        <n v="171"/>
        <n v="155"/>
        <n v="99"/>
        <n v="151"/>
        <n v="98"/>
      </sharedItems>
    </cacheField>
    <cacheField name="構成比（個人）" numFmtId="0" sqlType="3">
      <sharedItems containsSemiMixedTypes="0" containsString="0" containsNumber="1" minValue="0" maxValue="26.06" count="719">
        <n v="18.21"/>
        <n v="16.64"/>
        <n v="6.12"/>
        <n v="4.05"/>
        <n v="2.88"/>
        <n v="5.48"/>
        <n v="1.58"/>
        <n v="6.16"/>
        <n v="5.58"/>
        <n v="7.28"/>
        <n v="3.89"/>
        <n v="2.9"/>
        <n v="1.3"/>
        <n v="1.45"/>
        <n v="1.81"/>
        <n v="0.36"/>
        <n v="1.71"/>
        <n v="2.04"/>
        <n v="0.5"/>
        <n v="0.27"/>
        <n v="6.98"/>
        <n v="19.32"/>
        <n v="17.16"/>
        <n v="1.76"/>
        <n v="5.7"/>
        <n v="2.58"/>
        <n v="7.41"/>
        <n v="6.85"/>
        <n v="9.93"/>
        <n v="1.01"/>
        <n v="4.47"/>
        <n v="0.31"/>
        <n v="2.09"/>
        <n v="0.04"/>
        <n v="0.16"/>
        <n v="0.55000000000000004"/>
        <n v="1.38"/>
        <n v="0.19"/>
        <n v="3.61"/>
        <n v="5.56"/>
        <n v="18.059999999999999"/>
        <n v="1.1100000000000001"/>
        <n v="5.83"/>
        <n v="9.44"/>
        <n v="10.28"/>
        <n v="4.17"/>
        <n v="7.78"/>
        <n v="0"/>
        <n v="2.5"/>
        <n v="3.33"/>
        <n v="1.94"/>
        <n v="0.83"/>
        <n v="1.67"/>
        <n v="0.28000000000000003"/>
        <n v="8.4499999999999993"/>
        <n v="20.69"/>
        <n v="17.75"/>
        <n v="1.47"/>
        <n v="5.88"/>
        <n v="7.96"/>
        <n v="11.02"/>
        <n v="1.59"/>
        <n v="0.49"/>
        <n v="6"/>
        <n v="4.16"/>
        <n v="1.96"/>
        <n v="0.12"/>
        <n v="0.24"/>
        <n v="2.2000000000000002"/>
        <n v="12.05"/>
        <n v="22.49"/>
        <n v="17.7"/>
        <n v="7.36"/>
        <n v="7.57"/>
        <n v="1.6"/>
        <n v="6.93"/>
        <n v="11.09"/>
        <n v="0.43"/>
        <n v="0.21"/>
        <n v="1.07"/>
        <n v="0.11"/>
        <n v="1.49"/>
        <n v="0.85"/>
        <n v="20.2"/>
        <n v="4.7699999999999996"/>
        <n v="15.32"/>
        <n v="2.72"/>
        <n v="9.19"/>
        <n v="5.68"/>
        <n v="8.85"/>
        <n v="5.1100000000000003"/>
        <n v="2.16"/>
        <n v="6.24"/>
        <n v="0.34"/>
        <n v="2.38"/>
        <n v="0.45"/>
        <n v="0.91"/>
        <n v="1.48"/>
        <n v="23.43"/>
        <n v="6.64"/>
        <n v="10.33"/>
        <n v="5.17"/>
        <n v="11.44"/>
        <n v="5.54"/>
        <n v="0.18"/>
        <n v="1.85"/>
        <n v="1.66"/>
        <n v="12.42"/>
        <n v="19.88"/>
        <n v="20.7"/>
        <n v="2.48"/>
        <n v="2.69"/>
        <n v="7.25"/>
        <n v="3.93"/>
        <n v="3.73"/>
        <n v="2.0699999999999998"/>
        <n v="5.38"/>
        <n v="0.41"/>
        <n v="5.39"/>
        <n v="18.899999999999999"/>
        <n v="15.9"/>
        <n v="13.25"/>
        <n v="6.89"/>
        <n v="13.07"/>
        <n v="7.51"/>
        <n v="4.42"/>
        <n v="2.2999999999999998"/>
        <n v="0.62"/>
        <n v="0.97"/>
        <n v="0.35"/>
        <n v="1.33"/>
        <n v="0.8"/>
        <n v="0.53"/>
        <n v="6.78"/>
        <n v="21.61"/>
        <n v="17.46"/>
        <n v="8.67"/>
        <n v="1.51"/>
        <n v="6.03"/>
        <n v="11.68"/>
        <n v="2.5099999999999998"/>
        <n v="4.6500000000000004"/>
        <n v="1.88"/>
        <n v="0.13"/>
        <n v="3.39"/>
        <n v="0.25"/>
        <n v="0.38"/>
        <n v="0.63"/>
        <n v="4.91"/>
        <n v="17.38"/>
        <n v="3.68"/>
        <n v="4.09"/>
        <n v="13.5"/>
        <n v="9"/>
        <n v="4.29"/>
        <n v="9.82"/>
        <n v="4.5"/>
        <n v="0.82"/>
        <n v="1.84"/>
        <n v="1.23"/>
        <n v="1.64"/>
        <n v="20"/>
        <n v="6.22"/>
        <n v="3.67"/>
        <n v="3.22"/>
        <n v="13.22"/>
        <n v="5.22"/>
        <n v="2.11"/>
        <n v="6.56"/>
        <n v="5.78"/>
        <n v="0.78"/>
        <n v="2.67"/>
        <n v="4"/>
        <n v="0.33"/>
        <n v="2.33"/>
        <n v="0.89"/>
        <n v="18.18"/>
        <n v="16.88"/>
        <n v="3.13"/>
        <n v="2.34"/>
        <n v="7.1"/>
        <n v="1.42"/>
        <n v="8.27"/>
        <n v="5.81"/>
        <n v="3.01"/>
        <n v="1.8"/>
        <n v="1.55"/>
        <n v="0.92"/>
        <n v="1.92"/>
        <n v="0.28999999999999998"/>
        <n v="17.5"/>
        <n v="18.3"/>
        <n v="4.2699999999999996"/>
        <n v="3.87"/>
        <n v="5.34"/>
        <n v="6.5"/>
        <n v="5.08"/>
        <n v="4.1399999999999997"/>
        <n v="6.59"/>
        <n v="1.65"/>
        <n v="4.2300000000000004"/>
        <n v="3.34"/>
        <n v="1.91"/>
        <n v="0.22"/>
        <n v="6.58"/>
        <n v="17.579999999999998"/>
        <n v="16.68"/>
        <n v="2.2599999999999998"/>
        <n v="1.29"/>
        <n v="2.77"/>
        <n v="5.8"/>
        <n v="5.19"/>
        <n v="5.47"/>
        <n v="1.9"/>
        <n v="1.79"/>
        <n v="1.72"/>
        <n v="0.47"/>
        <n v="0.68"/>
        <n v="0.59"/>
        <n v="1.06"/>
        <n v="17.97"/>
        <n v="14.42"/>
        <n v="5.99"/>
        <n v="3.96"/>
        <n v="2.74"/>
        <n v="4.37"/>
        <n v="4.87"/>
        <n v="2.23"/>
        <n v="4.0599999999999996"/>
        <n v="3.65"/>
        <n v="1.52"/>
        <n v="1.1200000000000001"/>
        <n v="1.83"/>
        <n v="2.64"/>
        <n v="0.2"/>
        <n v="1.32"/>
        <n v="0.51"/>
        <n v="20.25"/>
        <n v="17.25"/>
        <n v="4.92"/>
        <n v="6.42"/>
        <n v="5.33"/>
        <n v="3.58"/>
        <n v="3.42"/>
        <n v="4.83"/>
        <n v="3.08"/>
        <n v="1.75"/>
        <n v="2.17"/>
        <n v="0.57999999999999996"/>
        <n v="0.17"/>
        <n v="19.989999999999998"/>
        <n v="5.27"/>
        <n v="16.27"/>
        <n v="3.37"/>
        <n v="5.73"/>
        <n v="10.199999999999999"/>
        <n v="7.33"/>
        <n v="5.98"/>
        <n v="2.41"/>
        <n v="0.75"/>
        <n v="0.6"/>
        <n v="0.15"/>
        <n v="17.32"/>
        <n v="14.33"/>
        <n v="4.33"/>
        <n v="6.19"/>
        <n v="7.84"/>
        <n v="5.36"/>
        <n v="5.77"/>
        <n v="5.67"/>
        <n v="3.4"/>
        <n v="2.37"/>
        <n v="1.1299999999999999"/>
        <n v="1.44"/>
        <n v="1.03"/>
        <n v="18.77"/>
        <n v="13.03"/>
        <n v="6.6"/>
        <n v="6.26"/>
        <n v="2.4300000000000002"/>
        <n v="6.86"/>
        <n v="4.78"/>
        <n v="5.13"/>
        <n v="3.74"/>
        <n v="5.04"/>
        <n v="0.7"/>
        <n v="1.39"/>
        <n v="0.96"/>
        <n v="1.04"/>
        <n v="18.329999999999998"/>
        <n v="17.87"/>
        <n v="7.13"/>
        <n v="5.74"/>
        <n v="6.94"/>
        <n v="3.98"/>
        <n v="4.8099999999999996"/>
        <n v="5.93"/>
        <n v="4.07"/>
        <n v="3.24"/>
        <n v="2.78"/>
        <n v="1.57"/>
        <n v="0.74"/>
        <n v="0.65"/>
        <n v="20.399999999999999"/>
        <n v="18.93"/>
        <n v="3.36"/>
        <n v="3.05"/>
        <n v="7.68"/>
        <n v="5.57"/>
        <n v="6.41"/>
        <n v="3.26"/>
        <n v="3.47"/>
        <n v="1.37"/>
        <n v="2.84"/>
        <n v="1.1599999999999999"/>
        <n v="0.42"/>
        <n v="20.29"/>
        <n v="18.8"/>
        <n v="6.11"/>
        <n v="5.21"/>
        <n v="5.62"/>
        <n v="6.7"/>
        <n v="2.81"/>
        <n v="4.08"/>
        <n v="2.63"/>
        <n v="1.36"/>
        <n v="2.13"/>
        <n v="0.14000000000000001"/>
        <n v="0.72"/>
        <n v="17.510000000000002"/>
        <n v="17.59"/>
        <n v="6.71"/>
        <n v="7.27"/>
        <n v="7.75"/>
        <n v="7.19"/>
        <n v="1.68"/>
        <n v="0.08"/>
        <n v="17.11"/>
        <n v="14.15"/>
        <n v="5.91"/>
        <n v="4.67"/>
        <n v="4.04"/>
        <n v="4.82"/>
        <n v="5.6"/>
        <n v="4.3499999999999996"/>
        <n v="4.51"/>
        <n v="1.0900000000000001"/>
        <n v="1.24"/>
        <n v="2.02"/>
        <n v="2.1800000000000002"/>
        <n v="1.87"/>
        <n v="20.92"/>
        <n v="9.23"/>
        <n v="12.21"/>
        <n v="3.18"/>
        <n v="6.36"/>
        <n v="4.41"/>
        <n v="6.05"/>
        <n v="1.54"/>
        <n v="3.49"/>
        <n v="3.38"/>
        <n v="2.15"/>
        <n v="0.1"/>
        <n v="18.02"/>
        <n v="15.13"/>
        <n v="6.84"/>
        <n v="5.52"/>
        <n v="5.65"/>
        <n v="6.53"/>
        <n v="3.45"/>
        <n v="4.3899999999999997"/>
        <n v="3.83"/>
        <n v="3.52"/>
        <n v="2.39"/>
        <n v="1.82"/>
        <n v="1.26"/>
        <n v="0.88"/>
        <n v="0.56000000000000005"/>
        <n v="8.5299999999999994"/>
        <n v="18.97"/>
        <n v="17.559999999999999"/>
        <n v="10.77"/>
        <n v="4.0999999999999996"/>
        <n v="8.91"/>
        <n v="1.22"/>
        <n v="4.49"/>
        <n v="3.78"/>
        <n v="1.73"/>
        <n v="0.26"/>
        <n v="20.05"/>
        <n v="17.93"/>
        <n v="5.5"/>
        <n v="2.62"/>
        <n v="1.31"/>
        <n v="2.75"/>
        <n v="5.87"/>
        <n v="4.75"/>
        <n v="2.87"/>
        <n v="0.94"/>
        <n v="1.25"/>
        <n v="2"/>
        <n v="19.36"/>
        <n v="19.95"/>
        <n v="3.44"/>
        <n v="2.4500000000000002"/>
        <n v="5.29"/>
        <n v="7.07"/>
        <n v="7.86"/>
        <n v="1.19"/>
        <n v="5.25"/>
        <n v="2.0499999999999998"/>
        <n v="5.0599999999999996"/>
        <n v="2.57"/>
        <n v="11.61"/>
        <n v="23.8"/>
        <n v="19.260000000000002"/>
        <n v="7.22"/>
        <n v="1.56"/>
        <n v="2.97"/>
        <n v="0.56999999999999995"/>
        <n v="2.83"/>
        <n v="1.98"/>
        <n v="1.27"/>
        <n v="14.35"/>
        <n v="17.2"/>
        <n v="14.68"/>
        <n v="1.1000000000000001"/>
        <n v="1.2"/>
        <n v="8"/>
        <n v="7.12"/>
        <n v="0.66"/>
        <n v="2.52"/>
        <n v="1.97"/>
        <n v="18.5"/>
        <n v="16.37"/>
        <n v="8.4700000000000006"/>
        <n v="7.15"/>
        <n v="4.8499999999999996"/>
        <n v="7.24"/>
        <n v="2.71"/>
        <n v="1.1499999999999999"/>
        <n v="0.76"/>
        <n v="21.46"/>
        <n v="3.81"/>
        <n v="19.940000000000001"/>
        <n v="8.83"/>
        <n v="9.74"/>
        <n v="4.26"/>
        <n v="0.46"/>
        <n v="0.61"/>
        <n v="15.22"/>
        <n v="19.350000000000001"/>
        <n v="12.83"/>
        <n v="5.43"/>
        <n v="4.57"/>
        <n v="8.48"/>
        <n v="6.09"/>
        <n v="1.74"/>
        <n v="0.87"/>
        <n v="1.93"/>
        <n v="5.41"/>
        <n v="16.989999999999998"/>
        <n v="2.3199999999999998"/>
        <n v="13.9"/>
        <n v="2.7"/>
        <n v="7.34"/>
        <n v="6.18"/>
        <n v="5.79"/>
        <n v="7.72"/>
        <n v="3.09"/>
        <n v="0.77"/>
        <n v="0.39"/>
        <n v="19.86"/>
        <n v="2.6"/>
        <n v="2.14"/>
        <n v="14.11"/>
        <n v="6.43"/>
        <n v="8.69"/>
        <n v="3.5"/>
        <n v="2.0299999999999998"/>
        <n v="0.9"/>
        <n v="1.69"/>
        <n v="20.75"/>
        <n v="6.17"/>
        <n v="14.75"/>
        <n v="4.63"/>
        <n v="2.4"/>
        <n v="4.46"/>
        <n v="3.77"/>
        <n v="1.89"/>
        <n v="0.69"/>
        <n v="20.93"/>
        <n v="7.99"/>
        <n v="3.35"/>
        <n v="11.98"/>
        <n v="6.39"/>
        <n v="4.55"/>
        <n v="6.07"/>
        <n v="2.56"/>
        <n v="1.28"/>
        <n v="2.8"/>
        <n v="3.43"/>
        <n v="20.48"/>
        <n v="5.03"/>
        <n v="6.15"/>
        <n v="2.79"/>
        <n v="9.5"/>
        <n v="5.96"/>
        <n v="3.72"/>
        <n v="4.28"/>
        <n v="2.98"/>
        <n v="7.38"/>
        <n v="10.97"/>
        <n v="12.49"/>
        <n v="2.2799999999999998"/>
        <n v="1.63"/>
        <n v="11.29"/>
        <n v="2.61"/>
        <n v="3.8"/>
        <n v="0.54"/>
        <n v="3.91"/>
        <n v="4.0199999999999996"/>
        <n v="8.86"/>
        <n v="21.53"/>
        <n v="20.84"/>
        <n v="4.22"/>
        <n v="3.27"/>
        <n v="7.49"/>
        <n v="2.59"/>
        <n v="0.95"/>
        <n v="13.65"/>
        <n v="13.16"/>
        <n v="2.86"/>
        <n v="3.19"/>
        <n v="18.32"/>
        <n v="13.68"/>
        <n v="7.79"/>
        <n v="3.16"/>
        <n v="5.26"/>
        <n v="7.58"/>
        <n v="7.37"/>
        <n v="23.36"/>
        <n v="21.17"/>
        <n v="6.01"/>
        <n v="2.46"/>
        <n v="1.78"/>
        <n v="9.56"/>
        <n v="1.5"/>
        <n v="17.940000000000001"/>
        <n v="13.92"/>
        <n v="5.35"/>
        <n v="1.61"/>
        <n v="0.67"/>
        <n v="0.4"/>
        <n v="21.28"/>
        <n v="17.02"/>
        <n v="5.85"/>
        <n v="8.33"/>
        <n v="9.0399999999999991"/>
        <n v="5.14"/>
        <n v="3.55"/>
        <n v="1.95"/>
        <n v="5.82"/>
        <n v="18.12"/>
        <n v="15.21"/>
        <n v="6.49"/>
        <n v="5.59"/>
        <n v="6.04"/>
        <n v="4.03"/>
        <n v="4.7"/>
        <n v="4.25"/>
        <n v="1.34"/>
        <n v="18.649999999999999"/>
        <n v="5.16"/>
        <n v="13.69"/>
        <n v="3.57"/>
        <n v="3.97"/>
        <n v="7.14"/>
        <n v="0.79"/>
        <n v="0.99"/>
        <n v="20.18"/>
        <n v="19.920000000000002"/>
        <n v="8.18"/>
        <n v="8.84"/>
        <n v="7.26"/>
        <n v="6.33"/>
        <n v="18.850000000000001"/>
        <n v="11.46"/>
        <n v="10.26"/>
        <n v="7.16"/>
        <n v="3.1"/>
        <n v="6.92"/>
        <n v="19"/>
        <n v="3"/>
        <n v="14"/>
        <n v="10.67"/>
        <n v="1"/>
        <n v="18.75"/>
        <n v="12.5"/>
        <n v="1.7"/>
        <n v="1.1399999999999999"/>
        <n v="3.41"/>
        <n v="6.82"/>
        <n v="26.06"/>
        <n v="17.82"/>
        <n v="6.38"/>
        <n v="7.18"/>
        <n v="5.32"/>
        <n v="3.46"/>
        <n v="14.37"/>
        <n v="5.75"/>
        <n v="9.1999999999999993"/>
        <n v="7.47"/>
        <n v="10.92"/>
        <n v="6.32"/>
        <n v="6.9"/>
        <n v="23.49"/>
        <n v="15.66"/>
        <n v="8.43"/>
        <n v="5.42"/>
        <n v="7.23"/>
        <n v="7.6"/>
        <n v="16"/>
        <n v="14.4"/>
        <n v="12"/>
        <n v="6.4"/>
        <n v="6.8"/>
        <n v="4.8"/>
        <n v="4.4000000000000004"/>
        <n v="13.64"/>
        <n v="12.12"/>
        <n v="6.06"/>
        <n v="6.57"/>
        <n v="3.79"/>
        <n v="2.27"/>
        <n v="3.03"/>
        <n v="1.77"/>
        <n v="9.65"/>
        <n v="10.09"/>
        <n v="15.79"/>
        <n v="14.04"/>
        <n v="2.19"/>
        <n v="6.14"/>
        <n v="3.07"/>
        <n v="3.51"/>
        <n v="0.44"/>
        <n v="10.84"/>
        <n v="12.81"/>
        <n v="14.29"/>
        <n v="13.3"/>
        <n v="4.93"/>
        <n v="2.96"/>
        <n v="8.57"/>
        <n v="13.57"/>
        <n v="11.43"/>
        <n v="9.2899999999999991"/>
        <n v="5"/>
        <n v="5.71"/>
        <n v="1.43"/>
        <n v="0.71"/>
        <n v="11.79"/>
        <n v="15.38"/>
        <n v="5.64"/>
        <n v="6.67"/>
        <n v="8.2100000000000009"/>
        <n v="3.59"/>
        <n v="13.91"/>
        <n v="13.04"/>
        <n v="9.57"/>
        <n v="3.48"/>
        <n v="12.97"/>
        <n v="15.68"/>
        <n v="9.73"/>
        <n v="7.03"/>
        <n v="4.32"/>
        <n v="1.08"/>
        <n v="1.62"/>
        <n v="12.79"/>
        <n v="8.14"/>
        <n v="2.91"/>
        <n v="10.55"/>
        <n v="15.63"/>
        <n v="12.89"/>
        <n v="9.77"/>
        <n v="7.42"/>
        <n v="2.73"/>
        <n v="1.17"/>
        <n v="10"/>
        <n v="8.1999999999999993"/>
        <n v="16.39"/>
        <n v="3.28"/>
        <n v="15.33"/>
        <n v="5.84"/>
        <n v="1.46"/>
        <n v="4.38"/>
        <n v="0.73"/>
        <n v="19.18"/>
        <n v="15.07"/>
        <n v="4.79"/>
        <n v="4.1100000000000003"/>
        <n v="4.95"/>
        <n v="6.37"/>
        <n v="6.13"/>
        <n v="4.4800000000000004"/>
        <n v="2.12"/>
        <n v="15.48"/>
        <n v="16.670000000000002"/>
        <n v="14.05"/>
        <n v="5.95"/>
        <n v="4.76"/>
        <n v="0.48"/>
        <n v="5.49"/>
        <n v="2.42"/>
        <n v="3.3"/>
        <n v="7.91"/>
        <n v="4.84"/>
        <n v="16.829999999999998"/>
        <n v="2.31"/>
        <n v="3.63"/>
      </sharedItems>
    </cacheField>
    <cacheField name="総数（法人）" numFmtId="0" sqlType="4">
      <sharedItems containsSemiMixedTypes="0" containsString="0" containsNumber="1" containsInteger="1" minValue="0" maxValue="7794" count="214">
        <n v="2347"/>
        <n v="1932"/>
        <n v="7794"/>
        <n v="5504"/>
        <n v="6163"/>
        <n v="3807"/>
        <n v="4659"/>
        <n v="1458"/>
        <n v="1672"/>
        <n v="690"/>
        <n v="1642"/>
        <n v="1902"/>
        <n v="2140"/>
        <n v="1895"/>
        <n v="1506"/>
        <n v="2241"/>
        <n v="1218"/>
        <n v="768"/>
        <n v="1598"/>
        <n v="1703"/>
        <n v="1678"/>
        <n v="498"/>
        <n v="372"/>
        <n v="960"/>
        <n v="653"/>
        <n v="799"/>
        <n v="361"/>
        <n v="439"/>
        <n v="126"/>
        <n v="764"/>
        <n v="324"/>
        <n v="477"/>
        <n v="493"/>
        <n v="303"/>
        <n v="258"/>
        <n v="380"/>
        <n v="369"/>
        <n v="316"/>
        <n v="223"/>
        <n v="271"/>
        <n v="96"/>
        <n v="84"/>
        <n v="66"/>
        <n v="18"/>
        <n v="74"/>
        <n v="31"/>
        <n v="10"/>
        <n v="7"/>
        <n v="26"/>
        <n v="1"/>
        <n v="28"/>
        <n v="14"/>
        <n v="20"/>
        <n v="19"/>
        <n v="11"/>
        <n v="15"/>
        <n v="183"/>
        <n v="55"/>
        <n v="38"/>
        <n v="117"/>
        <n v="73"/>
        <n v="41"/>
        <n v="12"/>
        <n v="72"/>
        <n v="80"/>
        <n v="35"/>
        <n v="33"/>
        <n v="62"/>
        <n v="43"/>
        <n v="52"/>
        <n v="51"/>
        <n v="45"/>
        <n v="22"/>
        <n v="24"/>
        <n v="17"/>
        <n v="252"/>
        <n v="109"/>
        <n v="81"/>
        <n v="129"/>
        <n v="75"/>
        <n v="121"/>
        <n v="65"/>
        <n v="104"/>
        <n v="107"/>
        <n v="89"/>
        <n v="93"/>
        <n v="79"/>
        <n v="71"/>
        <n v="48"/>
        <n v="32"/>
        <n v="37"/>
        <n v="42"/>
        <n v="144"/>
        <n v="23"/>
        <n v="127"/>
        <n v="108"/>
        <n v="118"/>
        <n v="34"/>
        <n v="40"/>
        <n v="59"/>
        <n v="36"/>
        <n v="30"/>
        <n v="39"/>
        <n v="112"/>
        <n v="27"/>
        <n v="47"/>
        <n v="69"/>
        <n v="50"/>
        <n v="21"/>
        <n v="46"/>
        <n v="25"/>
        <n v="111"/>
        <n v="13"/>
        <n v="70"/>
        <n v="16"/>
        <n v="278"/>
        <n v="90"/>
        <n v="76"/>
        <n v="67"/>
        <n v="82"/>
        <n v="97"/>
        <n v="57"/>
        <n v="302"/>
        <n v="61"/>
        <n v="116"/>
        <n v="100"/>
        <n v="56"/>
        <n v="83"/>
        <n v="8"/>
        <n v="29"/>
        <n v="114"/>
        <n v="115"/>
        <n v="49"/>
        <n v="347"/>
        <n v="263"/>
        <n v="254"/>
        <n v="173"/>
        <n v="225"/>
        <n v="85"/>
        <n v="91"/>
        <n v="88"/>
        <n v="119"/>
        <n v="204"/>
        <n v="163"/>
        <n v="54"/>
        <n v="58"/>
        <n v="86"/>
        <n v="60"/>
        <n v="64"/>
        <n v="859"/>
        <n v="178"/>
        <n v="633"/>
        <n v="536"/>
        <n v="509"/>
        <n v="401"/>
        <n v="265"/>
        <n v="398"/>
        <n v="98"/>
        <n v="110"/>
        <n v="145"/>
        <n v="140"/>
        <n v="190"/>
        <n v="172"/>
        <n v="170"/>
        <n v="152"/>
        <n v="132"/>
        <n v="9"/>
        <n v="5"/>
        <n v="124"/>
        <n v="377"/>
        <n v="295"/>
        <n v="181"/>
        <n v="95"/>
        <n v="122"/>
        <n v="63"/>
        <n v="53"/>
        <n v="44"/>
        <n v="6"/>
        <n v="68"/>
        <n v="4"/>
        <n v="179"/>
        <n v="182"/>
        <n v="131"/>
        <n v="94"/>
        <n v="3"/>
        <n v="143"/>
        <n v="246"/>
        <n v="137"/>
        <n v="133"/>
        <n v="87"/>
        <n v="274"/>
        <n v="242"/>
        <n v="187"/>
        <n v="92"/>
        <n v="146"/>
        <n v="128"/>
        <n v="261"/>
        <n v="231"/>
        <n v="138"/>
        <n v="135"/>
        <n v="393"/>
        <n v="125"/>
        <n v="77"/>
        <n v="147"/>
        <n v="136"/>
        <n v="205"/>
        <n v="200"/>
        <n v="192"/>
        <n v="191"/>
        <n v="148"/>
        <n v="203"/>
        <n v="139"/>
        <n v="2"/>
        <n v="0"/>
      </sharedItems>
    </cacheField>
    <cacheField name="構成比（法人）" numFmtId="0" sqlType="3">
      <sharedItems containsSemiMixedTypes="0" containsString="0" containsNumber="1" minValue="0" maxValue="22.22" count="606">
        <n v="3.13"/>
        <n v="2.57"/>
        <n v="10.38"/>
        <n v="7.33"/>
        <n v="8.2100000000000009"/>
        <n v="5.07"/>
        <n v="6.21"/>
        <n v="1.94"/>
        <n v="2.23"/>
        <n v="0.92"/>
        <n v="2.19"/>
        <n v="2.5299999999999998"/>
        <n v="2.85"/>
        <n v="2.52"/>
        <n v="2.0099999999999998"/>
        <n v="2.99"/>
        <n v="1.62"/>
        <n v="1.02"/>
        <n v="2.13"/>
        <n v="2.27"/>
        <n v="12.48"/>
        <n v="3.7"/>
        <n v="2.77"/>
        <n v="7.14"/>
        <n v="4.8600000000000003"/>
        <n v="5.94"/>
        <n v="2.69"/>
        <n v="3.27"/>
        <n v="0.94"/>
        <n v="5.68"/>
        <n v="2.41"/>
        <n v="3.55"/>
        <n v="3.67"/>
        <n v="2.25"/>
        <n v="1.92"/>
        <n v="2.83"/>
        <n v="2.75"/>
        <n v="2.35"/>
        <n v="1.66"/>
        <n v="2.02"/>
        <n v="12.08"/>
        <n v="10.57"/>
        <n v="8.3000000000000007"/>
        <n v="2.2599999999999998"/>
        <n v="9.31"/>
        <n v="3.9"/>
        <n v="1.26"/>
        <n v="0.88"/>
        <n v="0.13"/>
        <n v="3.52"/>
        <n v="1.76"/>
        <n v="2.39"/>
        <n v="1.38"/>
        <n v="1.89"/>
        <n v="12.91"/>
        <n v="3.88"/>
        <n v="2.68"/>
        <n v="8.26"/>
        <n v="5.15"/>
        <n v="2.89"/>
        <n v="0.85"/>
        <n v="5.08"/>
        <n v="5.65"/>
        <n v="2.4700000000000002"/>
        <n v="2.33"/>
        <n v="4.38"/>
        <n v="3.03"/>
        <n v="3.6"/>
        <n v="3.18"/>
        <n v="1.55"/>
        <n v="1.69"/>
        <n v="1.2"/>
        <n v="12.28"/>
        <n v="5.31"/>
        <n v="3.95"/>
        <n v="6.29"/>
        <n v="3.65"/>
        <n v="5.9"/>
        <n v="3.17"/>
        <n v="5.21"/>
        <n v="4.34"/>
        <n v="4.53"/>
        <n v="3.85"/>
        <n v="3.56"/>
        <n v="3.46"/>
        <n v="2.34"/>
        <n v="1.56"/>
        <n v="1.8"/>
        <n v="3.05"/>
        <n v="10.47"/>
        <n v="1.67"/>
        <n v="9.23"/>
        <n v="7.85"/>
        <n v="8.58"/>
        <n v="4.72"/>
        <n v="2.91"/>
        <n v="4.29"/>
        <n v="0.87"/>
        <n v="4"/>
        <n v="2.0299999999999998"/>
        <n v="2.76"/>
        <n v="2.4"/>
        <n v="2.62"/>
        <n v="2.1800000000000002"/>
        <n v="1.45"/>
        <n v="3.94"/>
        <n v="11.32"/>
        <n v="2.73"/>
        <n v="5.16"/>
        <n v="4.75"/>
        <n v="6.98"/>
        <n v="0.71"/>
        <n v="5.0599999999999996"/>
        <n v="4.8499999999999996"/>
        <n v="2.12"/>
        <n v="3.74"/>
        <n v="4.6500000000000004"/>
        <n v="3.54"/>
        <n v="3.44"/>
        <n v="2.63"/>
        <n v="1.52"/>
        <n v="2.2200000000000002"/>
        <n v="12.25"/>
        <n v="3.09"/>
        <n v="1.43"/>
        <n v="8.94"/>
        <n v="7.73"/>
        <n v="7.17"/>
        <n v="1.77"/>
        <n v="2.3199999999999998"/>
        <n v="2.54"/>
        <n v="0.77"/>
        <n v="2.65"/>
        <n v="2.1"/>
        <n v="1.99"/>
        <n v="15.8"/>
        <n v="5.12"/>
        <n v="6.2"/>
        <n v="4.32"/>
        <n v="1.93"/>
        <n v="3.75"/>
        <n v="3.81"/>
        <n v="4.66"/>
        <n v="5.51"/>
        <n v="4.1500000000000004"/>
        <n v="3.35"/>
        <n v="3.24"/>
        <n v="1.82"/>
        <n v="1.25"/>
        <n v="1.1399999999999999"/>
        <n v="1.42"/>
        <n v="17.510000000000002"/>
        <n v="3.83"/>
        <n v="2.14"/>
        <n v="6.72"/>
        <n v="0.99"/>
        <n v="5.8"/>
        <n v="4.87"/>
        <n v="3.25"/>
        <n v="4.17"/>
        <n v="1.86"/>
        <n v="2.61"/>
        <n v="2.4900000000000002"/>
        <n v="2.38"/>
        <n v="1.51"/>
        <n v="10.88"/>
        <n v="3.47"/>
        <n v="9.01"/>
        <n v="7.79"/>
        <n v="6.57"/>
        <n v="1.31"/>
        <n v="4.88"/>
        <n v="0.75"/>
        <n v="4.03"/>
        <n v="3.19"/>
        <n v="3.38"/>
        <n v="2.72"/>
        <n v="2.44"/>
        <n v="1.22"/>
        <n v="2.06"/>
        <n v="1.88"/>
        <n v="1.97"/>
        <n v="8.25"/>
        <n v="8.4"/>
        <n v="8.4700000000000006"/>
        <n v="1.03"/>
        <n v="7.15"/>
        <n v="3.1"/>
        <n v="0.96"/>
        <n v="0.59"/>
        <n v="3.61"/>
        <n v="2.2799999999999998"/>
        <n v="2.5099999999999998"/>
        <n v="2.58"/>
        <n v="3.51"/>
        <n v="10.06"/>
        <n v="7.62"/>
        <n v="7.36"/>
        <n v="5.01"/>
        <n v="3.33"/>
        <n v="6.52"/>
        <n v="1.33"/>
        <n v="2.46"/>
        <n v="2.64"/>
        <n v="2.5499999999999998"/>
        <n v="3.45"/>
        <n v="2"/>
        <n v="2.17"/>
        <n v="1.1599999999999999"/>
        <n v="2.09"/>
        <n v="4.05"/>
        <n v="2.4500000000000002"/>
        <n v="9.08"/>
        <n v="7.26"/>
        <n v="8.15"/>
        <n v="1.65"/>
        <n v="0.76"/>
        <n v="5.39"/>
        <n v="2.98"/>
        <n v="2.67"/>
        <n v="1.74"/>
        <n v="11.36"/>
        <n v="1.9"/>
        <n v="8.3699999999999992"/>
        <n v="7.09"/>
        <n v="6.73"/>
        <n v="5.3"/>
        <n v="3.5"/>
        <n v="5.26"/>
        <n v="0.69"/>
        <n v="1.3"/>
        <n v="1.71"/>
        <n v="1.85"/>
        <n v="1.75"/>
        <n v="3.4"/>
        <n v="6.54"/>
        <n v="7.04"/>
        <n v="6.04"/>
        <n v="7.3"/>
        <n v="1.1299999999999999"/>
        <n v="5.28"/>
        <n v="0.63"/>
        <n v="3.02"/>
        <n v="1.64"/>
        <n v="2.21"/>
        <n v="10.29"/>
        <n v="7.94"/>
        <n v="6.64"/>
        <n v="5.34"/>
        <n v="3.26"/>
        <n v="0.91"/>
        <n v="4.43"/>
        <n v="2.86"/>
        <n v="2.08"/>
        <n v="3.76"/>
        <n v="11.44"/>
        <n v="9.17"/>
        <n v="8.9499999999999993"/>
        <n v="5.25"/>
        <n v="1.06"/>
        <n v="5.49"/>
        <n v="2.7"/>
        <n v="2.88"/>
        <n v="1.91"/>
        <n v="3.43"/>
        <n v="9.51"/>
        <n v="7"/>
        <n v="6.08"/>
        <n v="3.04"/>
        <n v="1.72"/>
        <n v="5.55"/>
        <n v="3.3"/>
        <n v="5.81"/>
        <n v="0.79"/>
        <n v="1.19"/>
        <n v="6.84"/>
        <n v="8.0500000000000007"/>
        <n v="2.82"/>
        <n v="4.7300000000000004"/>
        <n v="0.4"/>
        <n v="1.01"/>
        <n v="3.42"/>
        <n v="1.61"/>
        <n v="2.11"/>
        <n v="1.21"/>
        <n v="2.31"/>
        <n v="3.66"/>
        <n v="3.91"/>
        <n v="8.7100000000000009"/>
        <n v="9.34"/>
        <n v="8.33"/>
        <n v="5.05"/>
        <n v="5.93"/>
        <n v="2.78"/>
        <n v="4.04"/>
        <n v="9.85"/>
        <n v="6.36"/>
        <n v="7.1"/>
        <n v="1.17"/>
        <n v="5.72"/>
        <n v="3.28"/>
        <n v="3.07"/>
        <n v="1.48"/>
        <n v="3.71"/>
        <n v="9.09"/>
        <n v="6.7"/>
        <n v="9.24"/>
        <n v="5.64"/>
        <n v="0.86"/>
        <n v="1.63"/>
        <n v="1.78"/>
        <n v="3"/>
        <n v="1.1200000000000001"/>
        <n v="2.29"/>
        <n v="3.58"/>
        <n v="9.9700000000000006"/>
        <n v="8.9"/>
        <n v="3.73"/>
        <n v="6.01"/>
        <n v="6.16"/>
        <n v="1.07"/>
        <n v="1.29"/>
        <n v="3.2"/>
        <n v="3.12"/>
        <n v="1.83"/>
        <n v="2.66"/>
        <n v="2.0499999999999998"/>
        <n v="2.0699999999999998"/>
        <n v="7.89"/>
        <n v="6.95"/>
        <n v="5.83"/>
        <n v="4.1399999999999997"/>
        <n v="1.32"/>
        <n v="0.56000000000000005"/>
        <n v="1.5"/>
        <n v="3.01"/>
        <n v="6.79"/>
        <n v="6.89"/>
        <n v="5.45"/>
        <n v="1.23"/>
        <n v="4.63"/>
        <n v="1.44"/>
        <n v="3.29"/>
        <n v="3.06"/>
        <n v="10.95"/>
        <n v="7.66"/>
        <n v="7.35"/>
        <n v="4.82"/>
        <n v="5.82"/>
        <n v="0.38"/>
        <n v="1.53"/>
        <n v="1.1499999999999999"/>
        <n v="3.68"/>
        <n v="2.37"/>
        <n v="2.2999999999999998"/>
        <n v="12.4"/>
        <n v="3.98"/>
        <n v="6.91"/>
        <n v="5.75"/>
        <n v="7.06"/>
        <n v="10.39"/>
        <n v="3.49"/>
        <n v="5.53"/>
        <n v="2.81"/>
        <n v="2.5"/>
        <n v="2.4300000000000002"/>
        <n v="3.96"/>
        <n v="7.98"/>
        <n v="8.07"/>
        <n v="5.6"/>
        <n v="5.35"/>
        <n v="4.2699999999999996"/>
        <n v="3.99"/>
        <n v="16.32"/>
        <n v="2.9"/>
        <n v="3.14"/>
        <n v="5.56"/>
        <n v="7.86"/>
        <n v="1.57"/>
        <n v="3.63"/>
        <n v="5.2"/>
        <n v="2.42"/>
        <n v="19.690000000000001"/>
        <n v="2.56"/>
        <n v="6.41"/>
        <n v="6.26"/>
        <n v="3.86"/>
        <n v="0.65"/>
        <n v="2.15"/>
        <n v="9.4600000000000009"/>
        <n v="8.75"/>
        <n v="4.4400000000000004"/>
        <n v="5.73"/>
        <n v="3.15"/>
        <n v="1.87"/>
        <n v="15.02"/>
        <n v="10.62"/>
        <n v="9.3000000000000007"/>
        <n v="7.11"/>
        <n v="3.22"/>
        <n v="1.98"/>
        <n v="2.71"/>
        <n v="1.68"/>
        <n v="1.54"/>
        <n v="14.32"/>
        <n v="9.7899999999999991"/>
        <n v="2.2000000000000002"/>
        <n v="4.41"/>
        <n v="0.73"/>
        <n v="5.0199999999999996"/>
        <n v="1.59"/>
        <n v="1.84"/>
        <n v="1.96"/>
        <n v="16.899999999999999"/>
        <n v="11.56"/>
        <n v="6.48"/>
        <n v="6.1"/>
        <n v="4.07"/>
        <n v="2.8"/>
        <n v="1.27"/>
        <n v="0.89"/>
        <n v="10.99"/>
        <n v="10.55"/>
        <n v="10.49"/>
        <n v="3.57"/>
        <n v="2.36"/>
        <n v="1.37"/>
        <n v="1.81"/>
        <n v="4.13"/>
        <n v="12.39"/>
        <n v="0.56999999999999995"/>
        <n v="7.19"/>
        <n v="6.27"/>
        <n v="5.59"/>
        <n v="3.21"/>
        <n v="6.12"/>
        <n v="4.59"/>
        <n v="5.41"/>
        <n v="7.28"/>
        <n v="7.45"/>
        <n v="1.35"/>
        <n v="8.2899999999999991"/>
        <n v="4.0599999999999996"/>
        <n v="11.78"/>
        <n v="7.95"/>
        <n v="1.04"/>
        <n v="6.44"/>
        <n v="6.62"/>
        <n v="0.81"/>
        <n v="3.48"/>
        <n v="2.79"/>
        <n v="0.57999999999999996"/>
        <n v="15.94"/>
        <n v="7.92"/>
        <n v="1.08"/>
        <n v="1.95"/>
        <n v="9.81"/>
        <n v="9.3800000000000008"/>
        <n v="6.61"/>
        <n v="7.53"/>
        <n v="4.28"/>
        <n v="0.7"/>
        <n v="0.98"/>
        <n v="3.8"/>
        <n v="7.6"/>
        <n v="6.65"/>
        <n v="4.5599999999999996"/>
        <n v="2.6"/>
        <n v="4.33"/>
        <n v="7.91"/>
        <n v="7.54"/>
        <n v="9.27"/>
        <n v="9.39"/>
        <n v="8.41"/>
        <n v="4.45"/>
        <n v="1.24"/>
        <n v="1.73"/>
        <n v="0.37"/>
        <n v="4.84"/>
        <n v="8.06"/>
        <n v="9.2200000000000006"/>
        <n v="8.76"/>
        <n v="6.45"/>
        <n v="3.69"/>
        <n v="11.46"/>
        <n v="3.53"/>
        <n v="4.9400000000000004"/>
        <n v="5.29"/>
        <n v="4.76"/>
        <n v="13.23"/>
        <n v="7.41"/>
        <n v="6.35"/>
        <n v="4.2300000000000004"/>
        <n v="7.44"/>
        <n v="1.4"/>
        <n v="8.57"/>
        <n v="6.18"/>
        <n v="6.6"/>
        <n v="3.79"/>
        <n v="5.18"/>
        <n v="12.9"/>
        <n v="5.62"/>
        <n v="7.83"/>
        <n v="8.49"/>
        <n v="6.28"/>
        <n v="4.3"/>
        <n v="4.22"/>
        <n v="7.69"/>
        <n v="2.48"/>
        <n v="9.18"/>
        <n v="3.97"/>
        <n v="0.74"/>
        <n v="1.49"/>
        <n v="10.34"/>
        <n v="9.1300000000000008"/>
        <n v="2.16"/>
        <n v="6.97"/>
        <n v="4.8099999999999996"/>
        <n v="0.72"/>
        <n v="0.48"/>
        <n v="18.09"/>
        <n v="8.8800000000000008"/>
        <n v="2.96"/>
        <n v="3.78"/>
        <n v="0.16"/>
        <n v="10.33"/>
        <n v="9.67"/>
        <n v="6.67"/>
        <n v="5.67"/>
        <n v="1"/>
        <n v="4.8"/>
        <n v="16"/>
        <n v="8.8000000000000007"/>
        <n v="8"/>
        <n v="0"/>
        <n v="6.4"/>
        <n v="1.6"/>
        <n v="0.8"/>
        <n v="17.600000000000001"/>
        <n v="7.2"/>
        <n v="15.61"/>
        <n v="8.09"/>
        <n v="5.78"/>
        <n v="7.51"/>
        <n v="2.2400000000000002"/>
        <n v="3.36"/>
        <n v="11.19"/>
        <n v="11.94"/>
        <n v="4.4800000000000004"/>
        <n v="4.0999999999999996"/>
        <n v="10.77"/>
        <n v="9.6199999999999992"/>
        <n v="8.08"/>
        <n v="3.08"/>
        <n v="14.81"/>
        <n v="8.99"/>
        <n v="0.53"/>
        <n v="13.39"/>
        <n v="10.24"/>
        <n v="13.42"/>
        <n v="1.34"/>
        <n v="0.67"/>
        <n v="4.7"/>
        <n v="16.28"/>
        <n v="16.98"/>
        <n v="5.66"/>
        <n v="3.77"/>
        <n v="4.71"/>
        <n v="1.18"/>
        <n v="12.94"/>
        <n v="22.22"/>
        <n v="5.13"/>
        <n v="21.74"/>
        <n v="4.3499999999999996"/>
        <n v="8.6999999999999993"/>
        <n v="13.04"/>
        <n v="11.82"/>
        <n v="8.18"/>
        <n v="4.55"/>
        <n v="3.64"/>
        <n v="15.45"/>
        <n v="7.27"/>
        <n v="13.36"/>
        <n v="4.68"/>
        <n v="7.02"/>
        <n v="4.01"/>
        <n v="3.34"/>
        <n v="11.25"/>
        <n v="13.33"/>
        <n v="4.58"/>
        <n v="7.08"/>
        <n v="0.83"/>
        <n v="2.92"/>
        <n v="0.42"/>
        <n v="9.66"/>
        <n v="4.83"/>
        <n v="6.76"/>
        <n v="3.62"/>
        <n v="4.78"/>
        <n v="10.83"/>
        <n v="10.19"/>
        <n v="8.2799999999999994"/>
        <n v="2.87"/>
        <n v="7.32"/>
        <n v="0.64"/>
        <n v="0.32"/>
      </sharedItems>
    </cacheField>
    <cacheField name="総数（法人以外の団体）" numFmtId="0" sqlType="4">
      <sharedItems containsSemiMixedTypes="0" containsString="0" containsNumber="1" containsInteger="1" minValue="0" maxValue="14" count="10">
        <n v="1"/>
        <n v="5"/>
        <n v="14"/>
        <n v="2"/>
        <n v="0"/>
        <n v="3"/>
        <n v="10"/>
        <n v="6"/>
        <n v="4"/>
        <n v="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48081134258" createdVersion="5" refreshedVersion="8" minRefreshableVersion="3" recordCount="1593" xr:uid="{312019E6-B962-4358-8E3A-A6686A54D1FC}">
  <cacheSource type="external" connectionId="3"/>
  <cacheFields count="14">
    <cacheField name="都道府県" numFmtId="0" sqlType="-9">
      <sharedItems count="1">
        <s v="11 埼玉県"/>
      </sharedItems>
    </cacheField>
    <cacheField name="自治体名" numFmtId="0" sqlType="-9">
      <sharedItems count="74">
        <s v="埼玉県"/>
        <s v="さいたま市"/>
        <s v="さいたま市西区"/>
        <s v="さいたま市北区"/>
        <s v="さいたま市大宮区"/>
        <s v="さいたま市見沼区"/>
        <s v="さいたま市中央区"/>
        <s v="さいたま市桜区"/>
        <s v="さいたま市浦和区"/>
        <s v="さいたま市南区"/>
        <s v="さいたま市緑区"/>
        <s v="さいたま市岩槻区"/>
        <s v="川越市"/>
        <s v="熊谷市"/>
        <s v="川口市"/>
        <s v="行田市"/>
        <s v="秩父市"/>
        <s v="所沢市"/>
        <s v="飯能市"/>
        <s v="加須市"/>
        <s v="本庄市"/>
        <s v="東松山市"/>
        <s v="春日部市"/>
        <s v="狭山市"/>
        <s v="羽生市"/>
        <s v="鴻巣市"/>
        <s v="深谷市"/>
        <s v="上尾市"/>
        <s v="草加市"/>
        <s v="越谷市"/>
        <s v="蕨市"/>
        <s v="戸田市"/>
        <s v="入間市"/>
        <s v="朝霞市"/>
        <s v="志木市"/>
        <s v="和光市"/>
        <s v="新座市"/>
        <s v="桶川市"/>
        <s v="久喜市"/>
        <s v="北本市"/>
        <s v="八潮市"/>
        <s v="富士見市"/>
        <s v="三郷市"/>
        <s v="蓮田市"/>
        <s v="坂戸市"/>
        <s v="幸手市"/>
        <s v="鶴ヶ島市"/>
        <s v="日高市"/>
        <s v="吉川市"/>
        <s v="ふじみ野市"/>
        <s v="白岡市"/>
        <s v="北足立郡伊奈町"/>
        <s v="入間郡三芳町"/>
        <s v="入間郡毛呂山町"/>
        <s v="入間郡越生町"/>
        <s v="比企郡滑川町"/>
        <s v="比企郡嵐山町"/>
        <s v="比企郡小川町"/>
        <s v="比企郡川島町"/>
        <s v="比企郡吉見町"/>
        <s v="比企郡鳩山町"/>
        <s v="比企郡ときがわ町"/>
        <s v="秩父郡横瀬町"/>
        <s v="秩父郡皆野町"/>
        <s v="秩父郡長瀞町"/>
        <s v="秩父郡小鹿野町"/>
        <s v="秩父郡東秩父村"/>
        <s v="児玉郡美里町"/>
        <s v="児玉郡神川町"/>
        <s v="児玉郡上里町"/>
        <s v="大里郡寄居町"/>
        <s v="南埼玉郡宮代町"/>
        <s v="北葛飾郡杉戸町"/>
        <s v="北葛飾郡松伏町"/>
      </sharedItems>
    </cacheField>
    <cacheField name="自治体" numFmtId="0" sqlType="-9">
      <sharedItems count="74">
        <s v="11000 埼玉県"/>
        <s v="11100 さいたま市"/>
        <s v="11101 さいたま市西区"/>
        <s v="11102 さいたま市北区"/>
        <s v="11103 さいたま市大宮区"/>
        <s v="11104 さいたま市見沼区"/>
        <s v="11105 さいたま市中央区"/>
        <s v="11106 さいたま市桜区"/>
        <s v="11107 さいたま市浦和区"/>
        <s v="11108 さいたま市南区"/>
        <s v="11109 さいたま市緑区"/>
        <s v="11110 さいたま市岩槻区"/>
        <s v="11201 川越市"/>
        <s v="11202 熊谷市"/>
        <s v="11203 川口市"/>
        <s v="11206 行田市"/>
        <s v="11207 秩父市"/>
        <s v="11208 所沢市"/>
        <s v="11209 飯能市"/>
        <s v="11210 加須市"/>
        <s v="11211 本庄市"/>
        <s v="11212 東松山市"/>
        <s v="11214 春日部市"/>
        <s v="11215 狭山市"/>
        <s v="11216 羽生市"/>
        <s v="11217 鴻巣市"/>
        <s v="11218 深谷市"/>
        <s v="11219 上尾市"/>
        <s v="11221 草加市"/>
        <s v="11222 越谷市"/>
        <s v="11223 蕨市"/>
        <s v="11224 戸田市"/>
        <s v="11225 入間市"/>
        <s v="11227 朝霞市"/>
        <s v="11228 志木市"/>
        <s v="11229 和光市"/>
        <s v="11230 新座市"/>
        <s v="11231 桶川市"/>
        <s v="11232 久喜市"/>
        <s v="11233 北本市"/>
        <s v="11234 八潮市"/>
        <s v="11235 富士見市"/>
        <s v="11237 三郷市"/>
        <s v="11238 蓮田市"/>
        <s v="11239 坂戸市"/>
        <s v="11240 幸手市"/>
        <s v="11241 鶴ヶ島市"/>
        <s v="11242 日高市"/>
        <s v="11243 吉川市"/>
        <s v="11245 ふじみ野市"/>
        <s v="11246 白岡市"/>
        <s v="11301 北足立郡伊奈町"/>
        <s v="11324 入間郡三芳町"/>
        <s v="11326 入間郡毛呂山町"/>
        <s v="11327 入間郡越生町"/>
        <s v="11341 比企郡滑川町"/>
        <s v="11342 比企郡嵐山町"/>
        <s v="11343 比企郡小川町"/>
        <s v="11346 比企郡川島町"/>
        <s v="11347 比企郡吉見町"/>
        <s v="11348 比企郡鳩山町"/>
        <s v="11349 比企郡ときがわ町"/>
        <s v="11361 秩父郡横瀬町"/>
        <s v="11362 秩父郡皆野町"/>
        <s v="11363 秩父郡長瀞町"/>
        <s v="11365 秩父郡小鹿野町"/>
        <s v="11369 秩父郡東秩父村"/>
        <s v="11381 児玉郡美里町"/>
        <s v="11383 児玉郡神川町"/>
        <s v="11385 児玉郡上里町"/>
        <s v="11408 大里郡寄居町"/>
        <s v="11442 南埼玉郡宮代町"/>
        <s v="11464 北葛飾郡杉戸町"/>
        <s v="11465 北葛飾郡松伏町"/>
      </sharedItems>
    </cacheField>
    <cacheField name="産業分類コード" numFmtId="0" sqlType="-8">
      <sharedItems count="109">
        <s v="783"/>
        <s v="692"/>
        <s v="782"/>
        <s v="835"/>
        <s v="765"/>
        <s v="824"/>
        <s v="762"/>
        <s v="691"/>
        <s v="083"/>
        <s v="081"/>
        <s v="609"/>
        <s v="591"/>
        <s v="065"/>
        <s v="694"/>
        <s v="891"/>
        <s v="589"/>
        <s v="064"/>
        <s v="062"/>
        <s v="781"/>
        <s v="682"/>
        <s v="742"/>
        <s v="066"/>
        <s v="823"/>
        <s v="077"/>
        <s v="079"/>
        <s v="072"/>
        <s v="522"/>
        <s v="559"/>
        <s v="603"/>
        <s v="766"/>
        <s v="586"/>
        <s v="573"/>
        <s v="579"/>
        <s v="693"/>
        <s v="724"/>
        <s v="767"/>
        <s v="729"/>
        <s v="833"/>
        <s v="728"/>
        <s v="853"/>
        <s v="078"/>
        <s v="721"/>
        <s v="391"/>
        <s v="244"/>
        <s v="325"/>
        <s v="116"/>
        <s v="593"/>
        <s v="763"/>
        <s v="761"/>
        <s v="531"/>
        <s v="605"/>
        <s v="153"/>
        <s v="794"/>
        <s v="269"/>
        <s v="245"/>
        <s v="246"/>
        <s v="131"/>
        <s v="151"/>
        <s v="193"/>
        <s v="071"/>
        <s v="611"/>
        <s v="681"/>
        <s v="183"/>
        <s v="471"/>
        <s v="311"/>
        <s v="929"/>
        <s v="133"/>
        <s v="585"/>
        <s v="601"/>
        <s v="722"/>
        <s v="076"/>
        <s v="799"/>
        <s v="329"/>
        <s v="604"/>
        <s v="074"/>
        <s v="145"/>
        <s v="723"/>
        <s v="121"/>
        <s v="441"/>
        <s v="751"/>
        <s v="075"/>
        <s v="099"/>
        <s v="119"/>
        <s v="253"/>
        <s v="097"/>
        <s v="247"/>
        <s v="854"/>
        <s v="063"/>
        <s v="073"/>
        <s v="142"/>
        <s v="211"/>
        <s v="214"/>
        <s v="225"/>
        <s v="302"/>
        <s v="319"/>
        <s v="360"/>
        <s v="415"/>
        <s v="443"/>
        <s v="489"/>
        <s v="725"/>
        <s v="743"/>
        <s v="785"/>
        <s v="809"/>
        <s v="821"/>
        <s v="951"/>
        <s v="235"/>
        <s v="581"/>
        <s v="855"/>
        <s v="331"/>
      </sharedItems>
    </cacheField>
    <cacheField name="産業分類" numFmtId="0" sqlType="-9">
      <sharedItems count="109">
        <s v="美容業"/>
        <s v="貸家業，貸間業"/>
        <s v="理容業"/>
        <s v="療術業"/>
        <s v="酒場，ビヤホール"/>
        <s v="教養・技能教授業"/>
        <s v="専門料理店"/>
        <s v="不動産賃貸業（貸家業，貸間業を除く）"/>
        <s v="管工事業（さく井工事業を除く）"/>
        <s v="電気工事業"/>
        <s v="他に分類されない小売業"/>
        <s v="自動車小売業"/>
        <s v="木造建築工事業"/>
        <s v="不動産管理業"/>
        <s v="自動車整備業"/>
        <s v="その他の飲食料品小売業"/>
        <s v="建築工事業（木造建築工事業を除く）"/>
        <s v="土木工事業（舗装工事業を除く）"/>
        <s v="洗濯業"/>
        <s v="不動産代理業・仲介業"/>
        <s v="土木建築サービス業"/>
        <s v="建築リフォーム工事業"/>
        <s v="学習塾"/>
        <s v="塗装工事業"/>
        <s v="その他の職別工事業"/>
        <s v="とび・土工・コンクリート工事業"/>
        <s v="食料・飲料卸売業"/>
        <s v="他に分類されない卸売業"/>
        <s v="医薬品・化粧品小売業"/>
        <s v="バー，キャバレー，ナイトクラブ"/>
        <s v="菓子・パン小売業"/>
        <s v="婦人・子供服小売業"/>
        <s v="その他の織物・衣服・身の回り品小売業"/>
        <s v="駐車場業"/>
        <s v="公認会計士事務所，税理士事務所"/>
        <s v="喫茶店"/>
        <s v="その他の専門サービス業"/>
        <s v="歯科診療所"/>
        <s v="経営コンサルタント業，純粋持株会社"/>
        <s v="児童福祉事業"/>
        <s v="床・内装工事業"/>
        <s v="法律事務所，特許事務所"/>
        <s v="ソフトウェア業"/>
        <s v="建設用・建築用金属製品製造業（製缶板金業を含む）"/>
        <s v="がん具・運動用具製造業"/>
        <s v="外衣・シャツ製造業（和式を除く）"/>
        <s v="機械器具小売業（自動車，自転車を除く）"/>
        <s v="そば・うどん店"/>
        <s v="食堂，レストラン（専門料理店を除く）"/>
        <s v="建築材料卸売業"/>
        <s v="燃料小売業"/>
        <s v="製本業，印刷物加工業"/>
        <s v="物品預り業"/>
        <s v="その他の生産用機械・同部分品製造業"/>
        <s v="金属素形材製品製造業"/>
        <s v="金属被覆・彫刻業，熱処理業（ほうろう鉄器を除く）"/>
        <s v="家具製造業"/>
        <s v="印刷業"/>
        <s v="ゴムベルト・ゴムホース・工業用ゴム製品製造業"/>
        <s v="大工工事業"/>
        <s v="通信販売・訪問販売小売業"/>
        <s v="建物売買業，土地売買業"/>
        <s v="工業用プラスチック製品製造業"/>
        <s v="倉庫業（冷蔵倉庫業を除く）"/>
        <s v="自動車・同附属品製造業"/>
        <s v="他に分類されない事業サービス業"/>
        <s v="建具製造業"/>
        <s v="酒小売業"/>
        <s v="家具・建具・畳小売業"/>
        <s v="公証人役場，司法書士事務所，土地家屋調査士事務所"/>
        <s v="板金・金物工事業"/>
        <s v="他に分類されない生活関連サービス業"/>
        <s v="他に分類されない製造業"/>
        <s v="農耕用品小売業"/>
        <s v="石工・れんが・タイル・ブロック工事業"/>
        <s v="紙製容器製造業"/>
        <s v="行政書士事務所"/>
        <s v="製材業，木製品製造業"/>
        <s v="一般貨物自動車運送業"/>
        <s v="旅館，ホテル"/>
        <s v="左官工事業"/>
        <s v="その他の食料品製造業"/>
        <s v="その他の繊維製品製造業"/>
        <s v="一般産業用機械・装置製造業"/>
        <s v="パン・菓子製造業"/>
        <s v="金属線製品製造業（ねじ類を除く）"/>
        <s v="老人福祉・介護事業"/>
        <s v="舗装工事業"/>
        <s v="鉄骨・鉄筋工事業"/>
        <s v="紙製造業"/>
        <s v="ガラス・同製品製造業"/>
        <s v="陶磁器・同関連製品製造業"/>
        <s v="鉄素形材製造業"/>
        <s v="映像・音響機械器具製造業"/>
        <s v="その他の輸送用機械器具製造業"/>
        <s v="管理，補助的経済活動を行う事業所"/>
        <s v="広告制作業"/>
        <s v="貨物軽自動車運送業"/>
        <s v="その他の運輸に附帯するサービス業"/>
        <s v="社会保険労務士事務所"/>
        <s v="機械設計業"/>
        <s v="その他の公衆浴場業"/>
        <s v="その他の娯楽業"/>
        <s v="社会教育"/>
        <s v="集会場"/>
        <s v="非鉄金属素形材製造業"/>
        <s v="各種食料品小売業"/>
        <s v="障害者福祉事業"/>
        <s v="電気業"/>
      </sharedItems>
    </cacheField>
    <cacheField name="産業小分類" numFmtId="0" sqlType="-9">
      <sharedItems count="109">
        <s v="783 美容業"/>
        <s v="692 貸家業，貸間業"/>
        <s v="782 理容業"/>
        <s v="835 療術業"/>
        <s v="765 酒場，ビヤホール"/>
        <s v="824 教養・技能教授業"/>
        <s v="762 専門料理店"/>
        <s v="691 不動産賃貸業（貸家業，貸間業を除く）"/>
        <s v="083 管工事業（さく井工事業を除く）"/>
        <s v="081 電気工事業"/>
        <s v="609 他に分類されない小売業"/>
        <s v="591 自動車小売業"/>
        <s v="065 木造建築工事業"/>
        <s v="694 不動産管理業"/>
        <s v="891 自動車整備業"/>
        <s v="589 その他の飲食料品小売業"/>
        <s v="064 建築工事業（木造建築工事業を除く）"/>
        <s v="062 土木工事業（舗装工事業を除く）"/>
        <s v="781 洗濯業"/>
        <s v="682 不動産代理業・仲介業"/>
        <s v="742 土木建築サービス業"/>
        <s v="066 建築リフォーム工事業"/>
        <s v="823 学習塾"/>
        <s v="077 塗装工事業"/>
        <s v="079 その他の職別工事業"/>
        <s v="072 とび・土工・コンクリート工事業"/>
        <s v="522 食料・飲料卸売業"/>
        <s v="559 他に分類されない卸売業"/>
        <s v="603 医薬品・化粧品小売業"/>
        <s v="766 バー，キャバレー，ナイトクラブ"/>
        <s v="586 菓子・パン小売業"/>
        <s v="573 婦人・子供服小売業"/>
        <s v="579 その他の織物・衣服・身の回り品小売業"/>
        <s v="693 駐車場業"/>
        <s v="724 公認会計士事務所，税理士事務所"/>
        <s v="767 喫茶店"/>
        <s v="729 その他の専門サービス業"/>
        <s v="833 歯科診療所"/>
        <s v="728 経営コンサルタント業，純粋持株会社"/>
        <s v="853 児童福祉事業"/>
        <s v="078 床・内装工事業"/>
        <s v="721 法律事務所，特許事務所"/>
        <s v="391 ソフトウェア業"/>
        <s v="244 建設用・建築用金属製品製造業（製缶板金業を含む）"/>
        <s v="325 がん具・運動用具製造業"/>
        <s v="116 外衣・シャツ製造業（和式を除く）"/>
        <s v="593 機械器具小売業（自動車，自転車を除く）"/>
        <s v="763 そば・うどん店"/>
        <s v="761 食堂，レストラン（専門料理店を除く）"/>
        <s v="531 建築材料卸売業"/>
        <s v="605 燃料小売業"/>
        <s v="153 製本業，印刷物加工業"/>
        <s v="794 物品預り業"/>
        <s v="269 その他の生産用機械・同部分品製造業"/>
        <s v="245 金属素形材製品製造業"/>
        <s v="246 金属被覆・彫刻業，熱処理業（ほうろう鉄器を除く）"/>
        <s v="131 家具製造業"/>
        <s v="151 印刷業"/>
        <s v="193 ゴムベルト・ゴムホース・工業用ゴム製品製造業"/>
        <s v="071 大工工事業"/>
        <s v="611 通信販売・訪問販売小売業"/>
        <s v="681 建物売買業，土地売買業"/>
        <s v="183 工業用プラスチック製品製造業"/>
        <s v="471 倉庫業（冷蔵倉庫業を除く）"/>
        <s v="311 自動車・同附属品製造業"/>
        <s v="929 他に分類されない事業サービス業"/>
        <s v="133 建具製造業"/>
        <s v="585 酒小売業"/>
        <s v="601 家具・建具・畳小売業"/>
        <s v="722 公証人役場，司法書士事務所，土地家屋調査士事務所"/>
        <s v="076 板金・金物工事業"/>
        <s v="799 他に分類されない生活関連サービス業"/>
        <s v="329 他に分類されない製造業"/>
        <s v="604 農耕用品小売業"/>
        <s v="074 石工・れんが・タイル・ブロック工事業"/>
        <s v="145 紙製容器製造業"/>
        <s v="723 行政書士事務所"/>
        <s v="121 製材業，木製品製造業"/>
        <s v="441 一般貨物自動車運送業"/>
        <s v="751 旅館，ホテル"/>
        <s v="075 左官工事業"/>
        <s v="099 その他の食料品製造業"/>
        <s v="119 その他の繊維製品製造業"/>
        <s v="253 一般産業用機械・装置製造業"/>
        <s v="097 パン・菓子製造業"/>
        <s v="247 金属線製品製造業（ねじ類を除く）"/>
        <s v="854 老人福祉・介護事業"/>
        <s v="063 舗装工事業"/>
        <s v="073 鉄骨・鉄筋工事業"/>
        <s v="142 紙製造業"/>
        <s v="211 ガラス・同製品製造業"/>
        <s v="214 陶磁器・同関連製品製造業"/>
        <s v="225 鉄素形材製造業"/>
        <s v="302 映像・音響機械器具製造業"/>
        <s v="319 その他の輸送用機械器具製造業"/>
        <s v="360 管理，補助的経済活動を行う事業所"/>
        <s v="415 広告制作業"/>
        <s v="443 貨物軽自動車運送業"/>
        <s v="489 その他の運輸に附帯するサービス業"/>
        <s v="725 社会保険労務士事務所"/>
        <s v="743 機械設計業"/>
        <s v="785 その他の公衆浴場業"/>
        <s v="809 その他の娯楽業"/>
        <s v="821 社会教育"/>
        <s v="951 集会場"/>
        <s v="235 非鉄金属素形材製造業"/>
        <s v="581 各種食料品小売業"/>
        <s v="855 障害者福祉事業"/>
        <s v="331 電気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6206" count="212">
        <n v="6206"/>
        <n v="5519"/>
        <n v="3991"/>
        <n v="3468"/>
        <n v="3395"/>
        <n v="3307"/>
        <n v="3231"/>
        <n v="2785"/>
        <n v="2282"/>
        <n v="2276"/>
        <n v="2145"/>
        <n v="2077"/>
        <n v="2076"/>
        <n v="1962"/>
        <n v="1936"/>
        <n v="1908"/>
        <n v="1898"/>
        <n v="1887"/>
        <n v="1749"/>
        <n v="1739"/>
        <n v="1066"/>
        <n v="861"/>
        <n v="605"/>
        <n v="578"/>
        <n v="555"/>
        <n v="490"/>
        <n v="487"/>
        <n v="452"/>
        <n v="430"/>
        <n v="416"/>
        <n v="368"/>
        <n v="348"/>
        <n v="343"/>
        <n v="341"/>
        <n v="308"/>
        <n v="290"/>
        <n v="282"/>
        <n v="280"/>
        <n v="257"/>
        <n v="253"/>
        <n v="41"/>
        <n v="40"/>
        <n v="32"/>
        <n v="31"/>
        <n v="29"/>
        <n v="27"/>
        <n v="26"/>
        <n v="25"/>
        <n v="24"/>
        <n v="23"/>
        <n v="21"/>
        <n v="20"/>
        <n v="19"/>
        <n v="18"/>
        <n v="17"/>
        <n v="16"/>
        <n v="123"/>
        <n v="105"/>
        <n v="75"/>
        <n v="71"/>
        <n v="67"/>
        <n v="61"/>
        <n v="56"/>
        <n v="52"/>
        <n v="48"/>
        <n v="42"/>
        <n v="36"/>
        <n v="35"/>
        <n v="34"/>
        <n v="30"/>
        <n v="162"/>
        <n v="93"/>
        <n v="91"/>
        <n v="87"/>
        <n v="76"/>
        <n v="68"/>
        <n v="58"/>
        <n v="55"/>
        <n v="54"/>
        <n v="50"/>
        <n v="49"/>
        <n v="43"/>
        <n v="39"/>
        <n v="38"/>
        <n v="95"/>
        <n v="65"/>
        <n v="46"/>
        <n v="45"/>
        <n v="37"/>
        <n v="33"/>
        <n v="78"/>
        <n v="47"/>
        <n v="22"/>
        <n v="94"/>
        <n v="51"/>
        <n v="28"/>
        <n v="15"/>
        <n v="141"/>
        <n v="125"/>
        <n v="122"/>
        <n v="99"/>
        <n v="84"/>
        <n v="83"/>
        <n v="81"/>
        <n v="63"/>
        <n v="60"/>
        <n v="175"/>
        <n v="115"/>
        <n v="85"/>
        <n v="79"/>
        <n v="57"/>
        <n v="44"/>
        <n v="80"/>
        <n v="77"/>
        <n v="268"/>
        <n v="192"/>
        <n v="171"/>
        <n v="170"/>
        <n v="157"/>
        <n v="145"/>
        <n v="130"/>
        <n v="112"/>
        <n v="109"/>
        <n v="106"/>
        <n v="100"/>
        <n v="96"/>
        <n v="86"/>
        <n v="240"/>
        <n v="147"/>
        <n v="136"/>
        <n v="126"/>
        <n v="117"/>
        <n v="98"/>
        <n v="62"/>
        <n v="590"/>
        <n v="406"/>
        <n v="289"/>
        <n v="283"/>
        <n v="267"/>
        <n v="264"/>
        <n v="232"/>
        <n v="218"/>
        <n v="207"/>
        <n v="187"/>
        <n v="182"/>
        <n v="169"/>
        <n v="160"/>
        <n v="158"/>
        <n v="153"/>
        <n v="151"/>
        <n v="66"/>
        <n v="124"/>
        <n v="74"/>
        <n v="64"/>
        <n v="262"/>
        <n v="205"/>
        <n v="173"/>
        <n v="152"/>
        <n v="140"/>
        <n v="120"/>
        <n v="111"/>
        <n v="82"/>
        <n v="73"/>
        <n v="121"/>
        <n v="53"/>
        <n v="69"/>
        <n v="110"/>
        <n v="255"/>
        <n v="181"/>
        <n v="155"/>
        <n v="127"/>
        <n v="72"/>
        <n v="128"/>
        <n v="59"/>
        <n v="102"/>
        <n v="202"/>
        <n v="97"/>
        <n v="188"/>
        <n v="184"/>
        <n v="135"/>
        <n v="103"/>
        <n v="275"/>
        <n v="199"/>
        <n v="183"/>
        <n v="174"/>
        <n v="163"/>
        <n v="90"/>
        <n v="89"/>
        <n v="88"/>
        <n v="131"/>
        <n v="244"/>
        <n v="134"/>
        <n v="92"/>
        <n v="14"/>
        <n v="107"/>
        <n v="70"/>
        <n v="168"/>
        <n v="150"/>
        <n v="13"/>
        <n v="104"/>
        <n v="12"/>
        <n v="11"/>
        <n v="10"/>
        <n v="9"/>
        <n v="7"/>
        <n v="6"/>
        <n v="5"/>
        <n v="4"/>
        <n v="8"/>
        <n v="3"/>
        <n v="2"/>
        <n v="1"/>
      </sharedItems>
    </cacheField>
    <cacheField name="構成比" numFmtId="0" sqlType="3">
      <sharedItems containsSemiMixedTypes="0" containsString="0" containsNumber="1" minValue="1" maxValue="10.91" count="356">
        <n v="4.66"/>
        <n v="4.1399999999999997"/>
        <n v="2.99"/>
        <n v="2.6"/>
        <n v="2.5499999999999998"/>
        <n v="2.48"/>
        <n v="2.42"/>
        <n v="2.09"/>
        <n v="1.71"/>
        <n v="1.61"/>
        <n v="1.56"/>
        <n v="1.47"/>
        <n v="1.45"/>
        <n v="1.43"/>
        <n v="1.42"/>
        <n v="1.31"/>
        <n v="1.3"/>
        <n v="5.1100000000000003"/>
        <n v="4.13"/>
        <n v="2.9"/>
        <n v="2.77"/>
        <n v="2.66"/>
        <n v="2.35"/>
        <n v="2.33"/>
        <n v="2.17"/>
        <n v="2.06"/>
        <n v="1.99"/>
        <n v="1.76"/>
        <n v="1.67"/>
        <n v="1.64"/>
        <n v="1.63"/>
        <n v="1.48"/>
        <n v="1.39"/>
        <n v="1.35"/>
        <n v="1.34"/>
        <n v="1.23"/>
        <n v="1.21"/>
        <n v="3.53"/>
        <n v="3.45"/>
        <n v="2.76"/>
        <n v="2.67"/>
        <n v="2.5"/>
        <n v="2.2400000000000002"/>
        <n v="2.16"/>
        <n v="2.0699999999999998"/>
        <n v="1.98"/>
        <n v="1.81"/>
        <n v="1.72"/>
        <n v="1.55"/>
        <n v="1.38"/>
        <n v="5.49"/>
        <n v="4.6900000000000004"/>
        <n v="3.35"/>
        <n v="3.17"/>
        <n v="2.72"/>
        <n v="2.3199999999999998"/>
        <n v="2.14"/>
        <n v="1.87"/>
        <n v="1.83"/>
        <n v="1.78"/>
        <n v="1.52"/>
        <n v="5.4"/>
        <n v="4.0999999999999996"/>
        <n v="3.1"/>
        <n v="3.03"/>
        <n v="2.5299999999999998"/>
        <n v="2.37"/>
        <n v="2.27"/>
        <n v="2.0299999999999998"/>
        <n v="1.93"/>
        <n v="1.8"/>
        <n v="1.27"/>
        <n v="4.2"/>
        <n v="4.0199999999999996"/>
        <n v="3.14"/>
        <n v="3.01"/>
        <n v="2.87"/>
        <n v="2.7"/>
        <n v="2.4300000000000002"/>
        <n v="1.86"/>
        <n v="1.68"/>
        <n v="1.59"/>
        <n v="1.46"/>
        <n v="1.41"/>
        <n v="5.65"/>
        <n v="5.07"/>
        <n v="3.05"/>
        <n v="2.79"/>
        <n v="2.21"/>
        <n v="1.88"/>
        <n v="1.75"/>
        <n v="1.69"/>
        <n v="1.62"/>
        <n v="1.49"/>
        <n v="1.36"/>
        <n v="6.74"/>
        <n v="3.66"/>
        <n v="3.3"/>
        <n v="2.94"/>
        <n v="2.8"/>
        <n v="2.73"/>
        <n v="2.2999999999999998"/>
        <n v="2.08"/>
        <n v="2.0099999999999998"/>
        <n v="1.79"/>
        <n v="1.58"/>
        <n v="1.51"/>
        <n v="1.1499999999999999"/>
        <n v="1.08"/>
        <n v="4.8499999999999996"/>
        <n v="4.3"/>
        <n v="4.1900000000000004"/>
        <n v="3.4"/>
        <n v="2.89"/>
        <n v="2.85"/>
        <n v="2.78"/>
        <n v="2.1"/>
        <n v="1.89"/>
        <n v="1.44"/>
        <n v="6.91"/>
        <n v="4.54"/>
        <n v="3.75"/>
        <n v="3.36"/>
        <n v="3.12"/>
        <n v="2.41"/>
        <n v="2.25"/>
        <n v="1.82"/>
        <n v="1.74"/>
        <n v="1.66"/>
        <n v="1.5"/>
        <n v="1.22"/>
        <n v="5.13"/>
        <n v="3.21"/>
        <n v="2.12"/>
        <n v="2.0499999999999998"/>
        <n v="1.92"/>
        <n v="1.6"/>
        <n v="1.54"/>
        <n v="3"/>
        <n v="1.94"/>
        <n v="1.9"/>
        <n v="1.32"/>
        <n v="1.28"/>
        <n v="1.24"/>
        <n v="4.57"/>
        <n v="3.27"/>
        <n v="2.91"/>
        <n v="2.68"/>
        <n v="2.4700000000000002"/>
        <n v="2.2200000000000002"/>
        <n v="1.91"/>
        <n v="1.7"/>
        <n v="5.29"/>
        <n v="3.24"/>
        <n v="2.69"/>
        <n v="2.58"/>
        <n v="2.4"/>
        <n v="2.1800000000000002"/>
        <n v="1.37"/>
        <n v="1.26"/>
        <n v="4.97"/>
        <n v="3.42"/>
        <n v="2.44"/>
        <n v="2.39"/>
        <n v="2.23"/>
        <n v="2.13"/>
        <n v="2.02"/>
        <n v="1.96"/>
        <n v="1.84"/>
        <n v="1.53"/>
        <n v="1.33"/>
        <n v="1.29"/>
        <n v="3.11"/>
        <n v="2.11"/>
        <n v="6.21"/>
        <n v="3.76"/>
        <n v="3.71"/>
        <n v="3.2"/>
        <n v="2"/>
        <n v="1.95"/>
        <n v="1.85"/>
        <n v="1.2"/>
        <n v="4.95"/>
        <n v="3.87"/>
        <n v="2.74"/>
        <n v="2.64"/>
        <n v="4.9800000000000004"/>
        <n v="3.43"/>
        <n v="2.75"/>
        <n v="2.46"/>
        <n v="1.77"/>
        <n v="5.58"/>
        <n v="3.78"/>
        <n v="2.95"/>
        <n v="2.2599999999999998"/>
        <n v="6.08"/>
        <n v="3.65"/>
        <n v="3.54"/>
        <n v="3.23"/>
        <n v="2.96"/>
        <n v="2.4900000000000002"/>
        <n v="2.38"/>
        <n v="5.79"/>
        <n v="3.84"/>
        <n v="2.84"/>
        <n v="6.07"/>
        <n v="4.3099999999999996"/>
        <n v="3.85"/>
        <n v="3.69"/>
        <n v="3.02"/>
        <n v="2.97"/>
        <n v="2.88"/>
        <n v="1.57"/>
        <n v="3.37"/>
        <n v="3.33"/>
        <n v="2.83"/>
        <n v="2.2799999999999998"/>
        <n v="4.5599999999999996"/>
        <n v="3.89"/>
        <n v="3.63"/>
        <n v="6.28"/>
        <n v="4.03"/>
        <n v="3.83"/>
        <n v="2.19"/>
        <n v="6.24"/>
        <n v="3.5"/>
        <n v="3.19"/>
        <n v="2.81"/>
        <n v="2.54"/>
        <n v="2.2000000000000002"/>
        <n v="5.69"/>
        <n v="4.87"/>
        <n v="3.38"/>
        <n v="3.15"/>
        <n v="2.56"/>
        <n v="1.1299999999999999"/>
        <n v="4.42"/>
        <n v="4.33"/>
        <n v="4.76"/>
        <n v="3.44"/>
        <n v="2.82"/>
        <n v="1.73"/>
        <n v="1.4"/>
        <n v="8.49"/>
        <n v="3.56"/>
        <n v="8.36"/>
        <n v="6.82"/>
        <n v="3.26"/>
        <n v="4.8099999999999996"/>
        <n v="2.15"/>
        <n v="1.65"/>
        <n v="3.95"/>
        <n v="2.62"/>
        <n v="2.57"/>
        <n v="7.2"/>
        <n v="3.92"/>
        <n v="1.25"/>
        <n v="5.86"/>
        <n v="2.65"/>
        <n v="2.36"/>
        <n v="3.94"/>
        <n v="3.31"/>
        <n v="3.13"/>
        <n v="5.72"/>
        <n v="3.48"/>
        <n v="2.63"/>
        <n v="6.52"/>
        <n v="3.07"/>
        <n v="5.48"/>
        <n v="4.51"/>
        <n v="3.8"/>
        <n v="3.18"/>
        <n v="3.7"/>
        <n v="2.34"/>
        <n v="1.17"/>
        <n v="7.22"/>
        <n v="6.44"/>
        <n v="3.91"/>
        <n v="3.25"/>
        <n v="1.1399999999999999"/>
        <n v="4.8600000000000003"/>
        <n v="5.04"/>
        <n v="4.25"/>
        <n v="3.46"/>
        <n v="6.31"/>
        <n v="4.12"/>
        <n v="4.0599999999999996"/>
        <n v="6.53"/>
        <n v="4.5199999999999996"/>
        <n v="2.93"/>
        <n v="6.67"/>
        <n v="4.04"/>
        <n v="3.77"/>
        <n v="3.6"/>
        <n v="2.4500000000000002"/>
        <n v="2.61"/>
        <n v="6.23"/>
        <n v="4.01"/>
        <n v="6.05"/>
        <n v="5.08"/>
        <n v="9.08"/>
        <n v="5.45"/>
        <n v="5.3"/>
        <n v="3.09"/>
        <n v="3.97"/>
        <n v="2.98"/>
        <n v="8.56"/>
        <n v="4.45"/>
        <n v="4.1100000000000003"/>
        <n v="6.98"/>
        <n v="5.12"/>
        <n v="4.6500000000000004"/>
        <n v="3.49"/>
        <n v="4.32"/>
        <n v="4.29"/>
        <n v="3.47"/>
        <n v="3.06"/>
        <n v="2.86"/>
        <n v="5.56"/>
        <n v="3.79"/>
        <n v="3.28"/>
        <n v="5.2"/>
        <n v="4.46"/>
        <n v="10.86"/>
        <n v="2.29"/>
        <n v="9.76"/>
        <n v="5.85"/>
        <n v="5.37"/>
        <n v="4.3899999999999997"/>
        <n v="4.75"/>
        <n v="4.41"/>
        <n v="4.07"/>
        <n v="3.39"/>
        <n v="2.71"/>
        <n v="5.38"/>
        <n v="3.08"/>
        <n v="2.31"/>
        <n v="6.33"/>
        <n v="5.01"/>
        <n v="10"/>
        <n v="5"/>
        <n v="4"/>
        <n v="1"/>
        <n v="4.68"/>
        <n v="4.26"/>
        <n v="5.6"/>
        <n v="4.8"/>
        <n v="4.4000000000000004"/>
        <n v="5.34"/>
        <n v="4.24"/>
        <n v="10.91"/>
        <n v="6.36"/>
        <n v="1.97"/>
        <n v="2.5099999999999998"/>
        <n v="6.45"/>
        <n v="3.55"/>
      </sharedItems>
    </cacheField>
    <cacheField name="総数（個人）" numFmtId="0" sqlType="4">
      <sharedItems containsSemiMixedTypes="0" containsString="0" containsNumber="1" containsInteger="1" minValue="0" maxValue="5284" count="161">
        <n v="5284"/>
        <n v="2393"/>
        <n v="3716"/>
        <n v="3032"/>
        <n v="3026"/>
        <n v="2555"/>
        <n v="2564"/>
        <n v="385"/>
        <n v="390"/>
        <n v="476"/>
        <n v="1196"/>
        <n v="845"/>
        <n v="885"/>
        <n v="68"/>
        <n v="1172"/>
        <n v="1189"/>
        <n v="274"/>
        <n v="168"/>
        <n v="963"/>
        <n v="174"/>
        <n v="367"/>
        <n v="677"/>
        <n v="521"/>
        <n v="402"/>
        <n v="495"/>
        <n v="52"/>
        <n v="17"/>
        <n v="338"/>
        <n v="352"/>
        <n v="73"/>
        <n v="21"/>
        <n v="171"/>
        <n v="31"/>
        <n v="39"/>
        <n v="33"/>
        <n v="24"/>
        <n v="140"/>
        <n v="62"/>
        <n v="117"/>
        <n v="18"/>
        <n v="32"/>
        <n v="1"/>
        <n v="3"/>
        <n v="28"/>
        <n v="7"/>
        <n v="6"/>
        <n v="2"/>
        <n v="22"/>
        <n v="4"/>
        <n v="16"/>
        <n v="9"/>
        <n v="0"/>
        <n v="49"/>
        <n v="82"/>
        <n v="67"/>
        <n v="65"/>
        <n v="51"/>
        <n v="10"/>
        <n v="5"/>
        <n v="46"/>
        <n v="38"/>
        <n v="23"/>
        <n v="8"/>
        <n v="13"/>
        <n v="69"/>
        <n v="95"/>
        <n v="15"/>
        <n v="81"/>
        <n v="54"/>
        <n v="53"/>
        <n v="50"/>
        <n v="11"/>
        <n v="25"/>
        <n v="29"/>
        <n v="77"/>
        <n v="63"/>
        <n v="57"/>
        <n v="42"/>
        <n v="26"/>
        <n v="27"/>
        <n v="14"/>
        <n v="19"/>
        <n v="47"/>
        <n v="37"/>
        <n v="35"/>
        <n v="84"/>
        <n v="96"/>
        <n v="64"/>
        <n v="59"/>
        <n v="60"/>
        <n v="30"/>
        <n v="12"/>
        <n v="45"/>
        <n v="85"/>
        <n v="74"/>
        <n v="43"/>
        <n v="34"/>
        <n v="76"/>
        <n v="75"/>
        <n v="222"/>
        <n v="158"/>
        <n v="139"/>
        <n v="116"/>
        <n v="107"/>
        <n v="221"/>
        <n v="142"/>
        <n v="118"/>
        <n v="108"/>
        <n v="111"/>
        <n v="93"/>
        <n v="56"/>
        <n v="44"/>
        <n v="210"/>
        <n v="339"/>
        <n v="276"/>
        <n v="223"/>
        <n v="229"/>
        <n v="230"/>
        <n v="40"/>
        <n v="154"/>
        <n v="20"/>
        <n v="97"/>
        <n v="90"/>
        <n v="36"/>
        <n v="66"/>
        <n v="58"/>
        <n v="212"/>
        <n v="100"/>
        <n v="105"/>
        <n v="88"/>
        <n v="80"/>
        <n v="41"/>
        <n v="104"/>
        <n v="61"/>
        <n v="228"/>
        <n v="155"/>
        <n v="98"/>
        <n v="114"/>
        <n v="79"/>
        <n v="72"/>
        <n v="70"/>
        <n v="161"/>
        <n v="78"/>
        <n v="162"/>
        <n v="127"/>
        <n v="110"/>
        <n v="103"/>
        <n v="143"/>
        <n v="124"/>
        <n v="99"/>
        <n v="86"/>
        <n v="188"/>
        <n v="181"/>
        <n v="138"/>
        <n v="145"/>
        <n v="129"/>
        <n v="48"/>
        <n v="91"/>
        <n v="89"/>
        <n v="83"/>
        <n v="55"/>
      </sharedItems>
    </cacheField>
    <cacheField name="構成比（個人）" numFmtId="0" sqlType="3">
      <sharedItems containsSemiMixedTypes="0" containsString="0" containsNumber="1" minValue="0" maxValue="15.65" count="598">
        <n v="9.19"/>
        <n v="4.16"/>
        <n v="6.47"/>
        <n v="5.28"/>
        <n v="5.27"/>
        <n v="4.45"/>
        <n v="4.46"/>
        <n v="0.67"/>
        <n v="0.68"/>
        <n v="0.83"/>
        <n v="2.08"/>
        <n v="1.47"/>
        <n v="1.54"/>
        <n v="0.12"/>
        <n v="2.04"/>
        <n v="2.0699999999999998"/>
        <n v="0.48"/>
        <n v="0.28999999999999998"/>
        <n v="1.68"/>
        <n v="0.3"/>
        <n v="5"/>
        <n v="9.23"/>
        <n v="7.1"/>
        <n v="5.48"/>
        <n v="6.75"/>
        <n v="0.71"/>
        <n v="0.23"/>
        <n v="4.6100000000000003"/>
        <n v="4.8"/>
        <n v="0.99"/>
        <n v="2.33"/>
        <n v="0.42"/>
        <n v="2.29"/>
        <n v="0.53"/>
        <n v="0.45"/>
        <n v="0.33"/>
        <n v="1.91"/>
        <n v="0.84"/>
        <n v="1.59"/>
        <n v="8.89"/>
        <n v="0.28000000000000003"/>
        <n v="7.78"/>
        <n v="1.94"/>
        <n v="1.67"/>
        <n v="0.56000000000000005"/>
        <n v="6.11"/>
        <n v="1.1100000000000001"/>
        <n v="4.4400000000000004"/>
        <n v="2.5"/>
        <n v="0"/>
        <n v="6"/>
        <n v="10.039999999999999"/>
        <n v="8.1999999999999993"/>
        <n v="7.96"/>
        <n v="6.24"/>
        <n v="1.22"/>
        <n v="0.61"/>
        <n v="5.63"/>
        <n v="4.6500000000000004"/>
        <n v="0.24"/>
        <n v="2.82"/>
        <n v="0.37"/>
        <n v="0.98"/>
        <n v="1.96"/>
        <n v="0.86"/>
        <n v="7.36"/>
        <n v="10.130000000000001"/>
        <n v="1.6"/>
        <n v="8.64"/>
        <n v="5.76"/>
        <n v="5.65"/>
        <n v="0.85"/>
        <n v="5.54"/>
        <n v="0.43"/>
        <n v="3.41"/>
        <n v="5.33"/>
        <n v="0.21"/>
        <n v="1.17"/>
        <n v="4.9000000000000004"/>
        <n v="1.07"/>
        <n v="0.32"/>
        <n v="2.67"/>
        <n v="3.09"/>
        <n v="3.75"/>
        <n v="8.74"/>
        <n v="7.15"/>
        <n v="1.02"/>
        <n v="5.79"/>
        <n v="0.56999999999999995"/>
        <n v="1.48"/>
        <n v="4.7699999999999996"/>
        <n v="2.72"/>
        <n v="0.11"/>
        <n v="2.95"/>
        <n v="1.25"/>
        <n v="2.38"/>
        <n v="0.34"/>
        <n v="0.79"/>
        <n v="3.06"/>
        <n v="3.18"/>
        <n v="5.17"/>
        <n v="11.44"/>
        <n v="6.09"/>
        <n v="7.75"/>
        <n v="7.2"/>
        <n v="4.0599999999999996"/>
        <n v="0.92"/>
        <n v="3.87"/>
        <n v="0.18"/>
        <n v="2.58"/>
        <n v="0.55000000000000004"/>
        <n v="4.24"/>
        <n v="3.51"/>
        <n v="2.4"/>
        <n v="10.35"/>
        <n v="9.73"/>
        <n v="7.87"/>
        <n v="7.66"/>
        <n v="6.42"/>
        <n v="1.04"/>
        <n v="5.8"/>
        <n v="0.41"/>
        <n v="1.45"/>
        <n v="1.24"/>
        <n v="2.2799999999999998"/>
        <n v="3.73"/>
        <n v="0.62"/>
        <n v="7.42"/>
        <n v="8.48"/>
        <n v="5.21"/>
        <n v="5.3"/>
        <n v="4.51"/>
        <n v="2.65"/>
        <n v="2.2999999999999998"/>
        <n v="4.59"/>
        <n v="0.8"/>
        <n v="1.86"/>
        <n v="1.06"/>
        <n v="1.5"/>
        <n v="2.56"/>
        <n v="10.68"/>
        <n v="0.13"/>
        <n v="9.3000000000000007"/>
        <n v="6.66"/>
        <n v="0.38"/>
        <n v="1.38"/>
        <n v="6.78"/>
        <n v="5.4"/>
        <n v="3.89"/>
        <n v="3.02"/>
        <n v="0.5"/>
        <n v="2.0099999999999998"/>
        <n v="0.63"/>
        <n v="0.75"/>
        <n v="0.25"/>
        <n v="3.68"/>
        <n v="7.57"/>
        <n v="6.95"/>
        <n v="2.4500000000000002"/>
        <n v="0.82"/>
        <n v="0.2"/>
        <n v="4.7"/>
        <n v="1.84"/>
        <n v="2.25"/>
        <n v="8.44"/>
        <n v="8.33"/>
        <n v="2.44"/>
        <n v="1.78"/>
        <n v="0.78"/>
        <n v="4.33"/>
        <n v="2"/>
        <n v="0.44"/>
        <n v="0.22"/>
        <n v="1.56"/>
        <n v="3.67"/>
        <n v="3.56"/>
        <n v="2.11"/>
        <n v="9.2799999999999994"/>
        <n v="2.2599999999999998"/>
        <n v="6.6"/>
        <n v="5.81"/>
        <n v="4.8899999999999997"/>
        <n v="4.8499999999999996"/>
        <n v="4.47"/>
        <n v="2.4700000000000002"/>
        <n v="2.13"/>
        <n v="0.96"/>
        <n v="1.92"/>
        <n v="9.84"/>
        <n v="6.32"/>
        <n v="5.25"/>
        <n v="4.8099999999999996"/>
        <n v="4.9400000000000004"/>
        <n v="4.1399999999999997"/>
        <n v="2.09"/>
        <n v="3.34"/>
        <n v="2.4900000000000002"/>
        <n v="2.23"/>
        <n v="2.3199999999999998"/>
        <n v="0.31"/>
        <n v="1.34"/>
        <n v="0.93"/>
        <n v="2.1800000000000002"/>
        <n v="1.74"/>
        <n v="4.93"/>
        <n v="7.97"/>
        <n v="6.48"/>
        <n v="5.24"/>
        <n v="0.54"/>
        <n v="5.38"/>
        <n v="0.94"/>
        <n v="3.62"/>
        <n v="2.73"/>
        <n v="0.47"/>
        <n v="0.59"/>
        <n v="0.49"/>
        <n v="9.14"/>
        <n v="6.5"/>
        <n v="4.37"/>
        <n v="3.65"/>
        <n v="1.73"/>
        <n v="3.25"/>
        <n v="2.34"/>
        <n v="3.05"/>
        <n v="2.54"/>
        <n v="1.52"/>
        <n v="1.32"/>
        <n v="1.42"/>
        <n v="0.81"/>
        <n v="1.83"/>
        <n v="9.75"/>
        <n v="5.5"/>
        <n v="3.83"/>
        <n v="4.83"/>
        <n v="2.17"/>
        <n v="2.83"/>
        <n v="3.08"/>
        <n v="2.42"/>
        <n v="1.75"/>
        <n v="10.65"/>
        <n v="3.42"/>
        <n v="7.73"/>
        <n v="7.03"/>
        <n v="5.0199999999999996"/>
        <n v="0.95"/>
        <n v="4.42"/>
        <n v="0.15"/>
        <n v="2.91"/>
        <n v="1.61"/>
        <n v="0.7"/>
        <n v="0.6"/>
        <n v="8.35"/>
        <n v="4.0199999999999996"/>
        <n v="4.74"/>
        <n v="4.12"/>
        <n v="4.43"/>
        <n v="2.99"/>
        <n v="3.3"/>
        <n v="2.27"/>
        <n v="2.78"/>
        <n v="0.52"/>
        <n v="9.3800000000000008"/>
        <n v="4"/>
        <n v="4.08"/>
        <n v="1.39"/>
        <n v="3.13"/>
        <n v="1.82"/>
        <n v="0.26"/>
        <n v="9.6300000000000008"/>
        <n v="3.98"/>
        <n v="6.2"/>
        <n v="5.46"/>
        <n v="4.54"/>
        <n v="3.43"/>
        <n v="2.41"/>
        <n v="2.69"/>
        <n v="1.57"/>
        <n v="0.74"/>
        <n v="10.199999999999999"/>
        <n v="6.94"/>
        <n v="6.41"/>
        <n v="4.7300000000000004"/>
        <n v="5.26"/>
        <n v="2.31"/>
        <n v="1.89"/>
        <n v="2.84"/>
        <n v="1.79"/>
        <n v="1.37"/>
        <n v="10.33"/>
        <n v="7.88"/>
        <n v="7.02"/>
        <n v="5.16"/>
        <n v="4.21"/>
        <n v="1.18"/>
        <n v="1.63"/>
        <n v="1.31"/>
        <n v="0.36"/>
        <n v="0.77"/>
        <n v="1.99"/>
        <n v="0.72"/>
        <n v="1.81"/>
        <n v="8.8699999999999992"/>
        <n v="6.31"/>
        <n v="5.92"/>
        <n v="4.96"/>
        <n v="3.2"/>
        <n v="2.16"/>
        <n v="0.4"/>
        <n v="7.93"/>
        <n v="6.53"/>
        <n v="3.27"/>
        <n v="2.8"/>
        <n v="4.2"/>
        <n v="3.11"/>
        <n v="2.64"/>
        <n v="0.16"/>
        <n v="2.02"/>
        <n v="1.87"/>
        <n v="1.0900000000000001"/>
        <n v="11.08"/>
        <n v="7.18"/>
        <n v="4.3099999999999996"/>
        <n v="3.38"/>
        <n v="2.15"/>
        <n v="3.28"/>
        <n v="1.64"/>
        <n v="1.44"/>
        <n v="0.51"/>
        <n v="2.0499999999999998"/>
        <n v="10.11"/>
        <n v="6.15"/>
        <n v="2.89"/>
        <n v="4.5199999999999996"/>
        <n v="0.88"/>
        <n v="4.3899999999999997"/>
        <n v="3.26"/>
        <n v="2.7"/>
        <n v="2.76"/>
        <n v="1"/>
        <n v="10.38"/>
        <n v="8.14"/>
        <n v="7.05"/>
        <n v="6.92"/>
        <n v="0.64"/>
        <n v="4.62"/>
        <n v="1.03"/>
        <n v="8.93"/>
        <n v="6.18"/>
        <n v="5.37"/>
        <n v="4.25"/>
        <n v="0.87"/>
        <n v="0.19"/>
        <n v="2.37"/>
        <n v="0.06"/>
        <n v="9.01"/>
        <n v="7.43"/>
        <n v="5.45"/>
        <n v="5.73"/>
        <n v="5.0999999999999996"/>
        <n v="1.98"/>
        <n v="0.91"/>
        <n v="8.92"/>
        <n v="7.08"/>
        <n v="5.95"/>
        <n v="2.5499999999999998"/>
        <n v="0.14000000000000001"/>
        <n v="1.7"/>
        <n v="12.49"/>
        <n v="7.89"/>
        <n v="7.01"/>
        <n v="6.35"/>
        <n v="4.82"/>
        <n v="0.66"/>
        <n v="9.6999999999999993"/>
        <n v="4.1900000000000004"/>
        <n v="4.6900000000000004"/>
        <n v="2.63"/>
        <n v="4.3600000000000003"/>
        <n v="4.1100000000000003"/>
        <n v="1.97"/>
        <n v="2.2200000000000002"/>
        <n v="3.21"/>
        <n v="0.57999999999999996"/>
        <n v="10.050000000000001"/>
        <n v="6.85"/>
        <n v="5.94"/>
        <n v="6.39"/>
        <n v="5.78"/>
        <n v="6.54"/>
        <n v="0.76"/>
        <n v="0.46"/>
        <n v="11.09"/>
        <n v="9.1300000000000008"/>
        <n v="1.3"/>
        <n v="6.74"/>
        <n v="6.3"/>
        <n v="5.22"/>
        <n v="4.13"/>
        <n v="4.57"/>
        <n v="2.61"/>
        <n v="0.39"/>
        <n v="7.72"/>
        <n v="7.34"/>
        <n v="1.1599999999999999"/>
        <n v="10.16"/>
        <n v="0.9"/>
        <n v="6.43"/>
        <n v="3.84"/>
        <n v="2.71"/>
        <n v="2.6"/>
        <n v="10.63"/>
        <n v="2.74"/>
        <n v="7.55"/>
        <n v="5.66"/>
        <n v="5.15"/>
        <n v="1.72"/>
        <n v="4.29"/>
        <n v="2.06"/>
        <n v="1.2"/>
        <n v="11.58"/>
        <n v="5.51"/>
        <n v="2.2400000000000002"/>
        <n v="1.28"/>
        <n v="9.68"/>
        <n v="8.19"/>
        <n v="3.54"/>
        <n v="3.91"/>
        <n v="2.98"/>
        <n v="1.1200000000000001"/>
        <n v="6.73"/>
        <n v="2.93"/>
        <n v="1.19"/>
        <n v="1.41"/>
        <n v="4.67"/>
        <n v="0.65"/>
        <n v="12.26"/>
        <n v="8.4499999999999993"/>
        <n v="6.4"/>
        <n v="0.27"/>
        <n v="6.13"/>
        <n v="7.44"/>
        <n v="4.09"/>
        <n v="6.21"/>
        <n v="1.23"/>
        <n v="4.58"/>
        <n v="1.88"/>
        <n v="2.86"/>
        <n v="2.94"/>
        <n v="2.21"/>
        <n v="8.6300000000000008"/>
        <n v="7.37"/>
        <n v="5.89"/>
        <n v="5.05"/>
        <n v="1.05"/>
        <n v="1.26"/>
        <n v="3.58"/>
        <n v="2.5299999999999998"/>
        <n v="12.16"/>
        <n v="7.65"/>
        <n v="6.56"/>
        <n v="2.46"/>
        <n v="9.3699999999999992"/>
        <n v="6.69"/>
        <n v="6.16"/>
        <n v="4.95"/>
        <n v="4.55"/>
        <n v="3.61"/>
        <n v="2.68"/>
        <n v="3.35"/>
        <n v="2.81"/>
        <n v="11.88"/>
        <n v="7.98"/>
        <n v="6.03"/>
        <n v="6.91"/>
        <n v="0.89"/>
        <n v="0.35"/>
        <n v="1.95"/>
        <n v="7.16"/>
        <n v="5.82"/>
        <n v="3.8"/>
        <n v="4.03"/>
        <n v="9.52"/>
        <n v="7.54"/>
        <n v="3.37"/>
        <n v="5.56"/>
        <n v="3.97"/>
        <n v="3.17"/>
        <n v="4.17"/>
        <n v="10.95"/>
        <n v="6.99"/>
        <n v="7.39"/>
        <n v="4.49"/>
        <n v="1.85"/>
        <n v="10.26"/>
        <n v="5.49"/>
        <n v="5.01"/>
        <n v="2.39"/>
        <n v="3.1"/>
        <n v="1.43"/>
        <n v="9"/>
        <n v="8"/>
        <n v="1.33"/>
        <n v="7.33"/>
        <n v="3"/>
        <n v="1.1399999999999999"/>
        <n v="7.95"/>
        <n v="8.52"/>
        <n v="6.82"/>
        <n v="9.31"/>
        <n v="9.0399999999999991"/>
        <n v="7.71"/>
        <n v="4.79"/>
        <n v="3.99"/>
        <n v="2.66"/>
        <n v="3.46"/>
        <n v="7.47"/>
        <n v="1.1499999999999999"/>
        <n v="2.87"/>
        <n v="3.45"/>
        <n v="15.06"/>
        <n v="7.23"/>
        <n v="7.83"/>
        <n v="6.63"/>
        <n v="5.42"/>
        <n v="4.22"/>
        <n v="3.01"/>
        <n v="10.8"/>
        <n v="5.6"/>
        <n v="7.6"/>
        <n v="5.2"/>
        <n v="3.6"/>
        <n v="3.79"/>
        <n v="4.04"/>
        <n v="3.03"/>
        <n v="1.77"/>
        <n v="1.01"/>
        <n v="3.95"/>
        <n v="2.19"/>
        <n v="6.14"/>
        <n v="8.3699999999999992"/>
        <n v="3.94"/>
        <n v="2.96"/>
        <n v="9.2899999999999991"/>
        <n v="8.57"/>
        <n v="2.14"/>
        <n v="3.57"/>
        <n v="11.28"/>
        <n v="3.59"/>
        <n v="4.0999999999999996"/>
        <n v="15.65"/>
        <n v="8.6999999999999993"/>
        <n v="3.48"/>
        <n v="4.3499999999999996"/>
        <n v="4.32"/>
        <n v="3.78"/>
        <n v="3.24"/>
        <n v="1.62"/>
        <n v="1.08"/>
        <n v="7.56"/>
        <n v="4.07"/>
        <n v="3.49"/>
        <n v="5.47"/>
        <n v="4.3"/>
        <n v="12.86"/>
        <n v="7.14"/>
        <n v="5.71"/>
        <n v="7.38"/>
        <n v="4.92"/>
        <n v="8.0299999999999994"/>
        <n v="7.3"/>
        <n v="5.84"/>
        <n v="6.57"/>
        <n v="5.1100000000000003"/>
        <n v="1.46"/>
        <n v="0.73"/>
        <n v="2.92"/>
        <n v="9.93"/>
        <n v="7.53"/>
        <n v="8.25"/>
        <n v="5.9"/>
        <n v="4.4800000000000004"/>
        <n v="3.07"/>
        <n v="2.59"/>
        <n v="1.65"/>
        <n v="2.12"/>
        <n v="13.1"/>
        <n v="9.0500000000000007"/>
        <n v="4.76"/>
        <n v="4.05"/>
        <n v="3.81"/>
        <n v="9.4499999999999993"/>
        <n v="5.93"/>
        <n v="1.1000000000000001"/>
        <n v="2.2000000000000002"/>
        <n v="3.74"/>
        <n v="3.52"/>
        <n v="11.22"/>
        <n v="3.63"/>
      </sharedItems>
    </cacheField>
    <cacheField name="総数（法人）" numFmtId="0" sqlType="4">
      <sharedItems containsSemiMixedTypes="0" containsString="0" containsNumber="1" containsInteger="1" minValue="0" maxValue="3122" count="142">
        <n v="921"/>
        <n v="3122"/>
        <n v="275"/>
        <n v="436"/>
        <n v="368"/>
        <n v="744"/>
        <n v="667"/>
        <n v="2399"/>
        <n v="1892"/>
        <n v="1799"/>
        <n v="946"/>
        <n v="1232"/>
        <n v="1191"/>
        <n v="1876"/>
        <n v="764"/>
        <n v="715"/>
        <n v="1624"/>
        <n v="1719"/>
        <n v="786"/>
        <n v="1565"/>
        <n v="699"/>
        <n v="184"/>
        <n v="84"/>
        <n v="176"/>
        <n v="60"/>
        <n v="438"/>
        <n v="468"/>
        <n v="114"/>
        <n v="78"/>
        <n v="339"/>
        <n v="347"/>
        <n v="177"/>
        <n v="312"/>
        <n v="173"/>
        <n v="269"/>
        <n v="257"/>
        <n v="258"/>
        <n v="140"/>
        <n v="195"/>
        <n v="135"/>
        <n v="23"/>
        <n v="8"/>
        <n v="31"/>
        <n v="28"/>
        <n v="1"/>
        <n v="20"/>
        <n v="24"/>
        <n v="6"/>
        <n v="21"/>
        <n v="18"/>
        <n v="16"/>
        <n v="4"/>
        <n v="11"/>
        <n v="15"/>
        <n v="74"/>
        <n v="51"/>
        <n v="50"/>
        <n v="10"/>
        <n v="40"/>
        <n v="37"/>
        <n v="34"/>
        <n v="32"/>
        <n v="19"/>
        <n v="29"/>
        <n v="22"/>
        <n v="93"/>
        <n v="12"/>
        <n v="66"/>
        <n v="67"/>
        <n v="36"/>
        <n v="56"/>
        <n v="45"/>
        <n v="9"/>
        <n v="44"/>
        <n v="47"/>
        <n v="38"/>
        <n v="39"/>
        <n v="14"/>
        <n v="13"/>
        <n v="62"/>
        <n v="42"/>
        <n v="41"/>
        <n v="26"/>
        <n v="33"/>
        <n v="27"/>
        <n v="59"/>
        <n v="5"/>
        <n v="17"/>
        <n v="30"/>
        <n v="3"/>
        <n v="7"/>
        <n v="106"/>
        <n v="35"/>
        <n v="70"/>
        <n v="75"/>
        <n v="54"/>
        <n v="25"/>
        <n v="130"/>
        <n v="94"/>
        <n v="68"/>
        <n v="49"/>
        <n v="2"/>
        <n v="46"/>
        <n v="43"/>
        <n v="138"/>
        <n v="95"/>
        <n v="96"/>
        <n v="85"/>
        <n v="73"/>
        <n v="69"/>
        <n v="48"/>
        <n v="61"/>
        <n v="380"/>
        <n v="244"/>
        <n v="187"/>
        <n v="192"/>
        <n v="189"/>
        <n v="52"/>
        <n v="181"/>
        <n v="156"/>
        <n v="141"/>
        <n v="148"/>
        <n v="126"/>
        <n v="136"/>
        <n v="121"/>
        <n v="107"/>
        <n v="57"/>
        <n v="90"/>
        <n v="83"/>
        <n v="63"/>
        <n v="87"/>
        <n v="119"/>
        <n v="71"/>
        <n v="53"/>
        <n v="113"/>
        <n v="86"/>
        <n v="77"/>
        <n v="65"/>
        <n v="197"/>
        <n v="91"/>
        <n v="79"/>
        <n v="0"/>
      </sharedItems>
    </cacheField>
    <cacheField name="構成比（法人）" numFmtId="0" sqlType="3">
      <sharedItems containsSemiMixedTypes="0" containsString="0" containsNumber="1" minValue="0" maxValue="13.04" count="419">
        <n v="1.23"/>
        <n v="4.16"/>
        <n v="0.37"/>
        <n v="0.57999999999999996"/>
        <n v="0.49"/>
        <n v="0.99"/>
        <n v="0.89"/>
        <n v="3.2"/>
        <n v="2.52"/>
        <n v="2.4"/>
        <n v="1.26"/>
        <n v="1.64"/>
        <n v="1.59"/>
        <n v="2.5"/>
        <n v="1.02"/>
        <n v="0.95"/>
        <n v="2.16"/>
        <n v="2.29"/>
        <n v="1.05"/>
        <n v="2.08"/>
        <n v="5.2"/>
        <n v="1.37"/>
        <n v="0.62"/>
        <n v="1.31"/>
        <n v="0.45"/>
        <n v="3.26"/>
        <n v="3.48"/>
        <n v="0.85"/>
        <n v="2.58"/>
        <n v="1.32"/>
        <n v="2.3199999999999998"/>
        <n v="1.29"/>
        <n v="2"/>
        <n v="1.91"/>
        <n v="1.92"/>
        <n v="1.04"/>
        <n v="1.45"/>
        <n v="1"/>
        <n v="2.89"/>
        <n v="1.01"/>
        <n v="3.9"/>
        <n v="3.52"/>
        <n v="0.13"/>
        <n v="3.02"/>
        <n v="0.75"/>
        <n v="2.64"/>
        <n v="2.2599999999999998"/>
        <n v="2.0099999999999998"/>
        <n v="0.5"/>
        <n v="1.38"/>
        <n v="1.89"/>
        <n v="5.22"/>
        <n v="1.62"/>
        <n v="0.56000000000000005"/>
        <n v="0.42"/>
        <n v="1.1299999999999999"/>
        <n v="3.6"/>
        <n v="3.53"/>
        <n v="0.71"/>
        <n v="2.82"/>
        <n v="1.27"/>
        <n v="2.61"/>
        <n v="2.19"/>
        <n v="1.41"/>
        <n v="1.98"/>
        <n v="1.34"/>
        <n v="2.0499999999999998"/>
        <n v="1.55"/>
        <n v="4.53"/>
        <n v="1.36"/>
        <n v="3.8"/>
        <n v="1.8"/>
        <n v="1.66"/>
        <n v="3.22"/>
        <n v="1.1200000000000001"/>
        <n v="3.27"/>
        <n v="1.75"/>
        <n v="0.54"/>
        <n v="2.73"/>
        <n v="0.44"/>
        <n v="2.14"/>
        <n v="1.85"/>
        <n v="1.9"/>
        <n v="0.68"/>
        <n v="0.63"/>
        <n v="4.51"/>
        <n v="0.8"/>
        <n v="4.07"/>
        <n v="0.73"/>
        <n v="3.71"/>
        <n v="3.05"/>
        <n v="0.28999999999999998"/>
        <n v="1.53"/>
        <n v="2.98"/>
        <n v="0.87"/>
        <n v="1.1599999999999999"/>
        <n v="2.4700000000000002"/>
        <n v="1.96"/>
        <n v="5.97"/>
        <n v="1.42"/>
        <n v="0.51"/>
        <n v="0.4"/>
        <n v="1.72"/>
        <n v="3.03"/>
        <n v="2.83"/>
        <n v="2.33"/>
        <n v="2.4300000000000002"/>
        <n v="0.3"/>
        <n v="2.2200000000000002"/>
        <n v="2.12"/>
        <n v="4.8600000000000003"/>
        <n v="0.88"/>
        <n v="4.1900000000000004"/>
        <n v="0.77"/>
        <n v="3.09"/>
        <n v="2.21"/>
        <n v="1.99"/>
        <n v="1.88"/>
        <n v="1.21"/>
        <n v="1.1000000000000001"/>
        <n v="6.03"/>
        <n v="1.48"/>
        <n v="4.78"/>
        <n v="3.98"/>
        <n v="4.26"/>
        <n v="0.17"/>
        <n v="0.91"/>
        <n v="3.07"/>
        <n v="1.71"/>
        <n v="0.56999999999999995"/>
        <n v="7.54"/>
        <n v="1.74"/>
        <n v="5.45"/>
        <n v="0.64"/>
        <n v="1.51"/>
        <n v="3.94"/>
        <n v="2.84"/>
        <n v="3.13"/>
        <n v="0.35"/>
        <n v="1.22"/>
        <n v="2.09"/>
        <n v="2.0299999999999998"/>
        <n v="1.57"/>
        <n v="5.82"/>
        <n v="0.28000000000000003"/>
        <n v="0.19"/>
        <n v="1.97"/>
        <n v="2.72"/>
        <n v="2.63"/>
        <n v="2.44"/>
        <n v="2.35"/>
        <n v="2.25"/>
        <n v="0.47"/>
        <n v="1.78"/>
        <n v="0.52"/>
        <n v="0.15"/>
        <n v="3.39"/>
        <n v="3.17"/>
        <n v="1.69"/>
        <n v="1.84"/>
        <n v="2.65"/>
        <n v="1.47"/>
        <n v="7.0000000000000007E-2"/>
        <n v="1.4"/>
        <n v="0.66"/>
        <n v="1.33"/>
        <n v="4"/>
        <n v="0.38"/>
        <n v="0.9"/>
        <n v="0.84"/>
        <n v="0.67"/>
        <n v="2.75"/>
        <n v="2.78"/>
        <n v="1.56"/>
        <n v="2.46"/>
        <n v="2.69"/>
        <n v="0.22"/>
        <n v="1.07"/>
        <n v="2.67"/>
        <n v="1.6"/>
        <n v="2.1800000000000002"/>
        <n v="1.83"/>
        <n v="0.76"/>
        <n v="5.0199999999999996"/>
        <n v="0.79"/>
        <n v="3.23"/>
        <n v="0.46"/>
        <n v="2.54"/>
        <n v="0.69"/>
        <n v="2.39"/>
        <n v="2.06"/>
        <n v="1.86"/>
        <n v="0.74"/>
        <n v="1.67"/>
        <n v="0.25"/>
        <n v="4.03"/>
        <n v="1.76"/>
        <n v="2.99"/>
        <n v="0.78"/>
        <n v="0.65"/>
        <n v="1.3"/>
        <n v="1.43"/>
        <n v="3.91"/>
        <n v="1.17"/>
        <n v="2.34"/>
        <n v="0.26"/>
        <n v="1.52"/>
        <n v="4.13"/>
        <n v="0.36"/>
        <n v="3.67"/>
        <n v="0.82"/>
        <n v="3.25"/>
        <n v="1.73"/>
        <n v="2.77"/>
        <n v="0.92"/>
        <n v="0.53"/>
        <n v="1.19"/>
        <n v="1.06"/>
        <n v="3.43"/>
        <n v="2.11"/>
        <n v="0.2"/>
        <n v="1.81"/>
        <n v="0.6"/>
        <n v="3.32"/>
        <n v="2.31"/>
        <n v="0.1"/>
        <n v="0.7"/>
        <n v="1.39"/>
        <n v="4.17"/>
        <n v="2.02"/>
        <n v="1.1399999999999999"/>
        <n v="2.9"/>
        <n v="3.16"/>
        <n v="2.5299999999999998"/>
        <n v="2.27"/>
        <n v="2.97"/>
        <n v="1.63"/>
        <n v="2.74"/>
        <n v="0.81"/>
        <n v="3.73"/>
        <n v="0.61"/>
        <n v="2.36"/>
        <n v="3.35"/>
        <n v="2.66"/>
        <n v="2.5099999999999998"/>
        <n v="5.08"/>
        <n v="2.0699999999999998"/>
        <n v="3.01"/>
        <n v="3.38"/>
        <n v="0.94"/>
        <n v="1.54"/>
        <n v="0.72"/>
        <n v="1.03"/>
        <n v="3.4"/>
        <n v="1.95"/>
        <n v="0.41"/>
        <n v="0.31"/>
        <n v="0.21"/>
        <n v="1.61"/>
        <n v="5.05"/>
        <n v="2.4500000000000002"/>
        <n v="2.37"/>
        <n v="2.2999999999999998"/>
        <n v="2.76"/>
        <n v="4.84"/>
        <n v="4.3899999999999997"/>
        <n v="0.96"/>
        <n v="3.68"/>
        <n v="0.86"/>
        <n v="2.42"/>
        <n v="1.1100000000000001"/>
        <n v="0.43"/>
        <n v="3.49"/>
        <n v="2.38"/>
        <n v="0.93"/>
        <n v="2.13"/>
        <n v="8.2200000000000006"/>
        <n v="1.0900000000000001"/>
        <n v="4.59"/>
        <n v="0.12"/>
        <n v="0.97"/>
        <n v="6.51"/>
        <n v="9.8699999999999992"/>
        <n v="1.1499999999999999"/>
        <n v="2.15"/>
        <n v="1.35"/>
        <n v="1.65"/>
        <n v="1.5"/>
        <n v="1.93"/>
        <n v="3.47"/>
        <n v="2.57"/>
        <n v="0.06"/>
        <n v="6.67"/>
        <n v="4.0999999999999996"/>
        <n v="1.25"/>
        <n v="3.66"/>
        <n v="0.59"/>
        <n v="2.93"/>
        <n v="2.71"/>
        <n v="2.56"/>
        <n v="2.4900000000000002"/>
        <n v="0.98"/>
        <n v="4.6500000000000004"/>
        <n v="3.79"/>
        <n v="0.24"/>
        <n v="2.2000000000000002"/>
        <n v="7.62"/>
        <n v="4.32"/>
        <n v="4.45"/>
        <n v="2.8"/>
        <n v="2.41"/>
        <n v="4.34"/>
        <n v="4.29"/>
        <n v="3.41"/>
        <n v="0.27"/>
        <n v="4.99"/>
        <n v="3.56"/>
        <n v="2.85"/>
        <n v="2.2799999999999998"/>
        <n v="1.28"/>
        <n v="2.68"/>
        <n v="1.18"/>
        <n v="4.0599999999999996"/>
        <n v="0.34"/>
        <n v="3.55"/>
        <n v="0.23"/>
        <n v="1.68"/>
        <n v="5.75"/>
        <n v="1.08"/>
        <n v="5.64"/>
        <n v="0.33"/>
        <n v="3.69"/>
        <n v="3.15"/>
        <n v="4.01"/>
        <n v="2.17"/>
        <n v="4.37"/>
        <n v="3.04"/>
        <n v="4.33"/>
        <n v="3.83"/>
        <n v="3.58"/>
        <n v="3.34"/>
        <n v="3.21"/>
        <n v="1.24"/>
        <n v="3.46"/>
        <n v="3.7"/>
        <n v="0"/>
        <n v="3"/>
        <n v="6.17"/>
        <n v="1.94"/>
        <n v="3.65"/>
        <n v="3.51"/>
        <n v="0.14000000000000001"/>
        <n v="5.73"/>
        <n v="0.55000000000000004"/>
        <n v="3.42"/>
        <n v="1.87"/>
        <n v="0.11"/>
        <n v="2.23"/>
        <n v="2.48"/>
        <n v="1.49"/>
        <n v="5.29"/>
        <n v="3.85"/>
        <n v="2.88"/>
        <n v="0.48"/>
        <n v="3.37"/>
        <n v="1.44"/>
        <n v="1.2"/>
        <n v="11.51"/>
        <n v="3.62"/>
        <n v="3.45"/>
        <n v="3.29"/>
        <n v="3.33"/>
        <n v="5.6"/>
        <n v="8"/>
        <n v="4.8"/>
        <n v="6.4"/>
        <n v="4.62"/>
        <n v="4.05"/>
        <n v="2.2400000000000002"/>
        <n v="3.08"/>
        <n v="4.2300000000000004"/>
        <n v="6.35"/>
        <n v="4.76"/>
        <n v="5.51"/>
        <n v="4.72"/>
        <n v="10.74"/>
        <n v="6.04"/>
        <n v="4.7"/>
        <n v="3.36"/>
        <n v="11.63"/>
        <n v="5.81"/>
        <n v="3.77"/>
        <n v="6.6"/>
        <n v="4.71"/>
        <n v="7.06"/>
        <n v="4.2699999999999996"/>
        <n v="11.97"/>
        <n v="5.13"/>
        <n v="4.3499999999999996"/>
        <n v="8.6999999999999993"/>
        <n v="13.04"/>
        <n v="8.18"/>
        <n v="3.64"/>
        <n v="1.82"/>
        <n v="10"/>
        <n v="4.55"/>
        <n v="3.24"/>
        <n v="7.08"/>
        <n v="0.83"/>
        <n v="4.58"/>
        <n v="5.42"/>
        <n v="2.92"/>
        <n v="4.1100000000000003"/>
        <n v="3.86"/>
        <n v="5.41"/>
        <n v="0.32"/>
        <n v="3.82"/>
        <n v="3.18"/>
        <n v="2.87"/>
      </sharedItems>
    </cacheField>
    <cacheField name="総数（法人以外の団体）" numFmtId="0" sqlType="4">
      <sharedItems containsSemiMixedTypes="0" containsString="0" containsNumber="1" containsInteger="1" minValue="0" maxValue="12" count="7">
        <n v="1"/>
        <n v="0"/>
        <n v="8"/>
        <n v="3"/>
        <n v="12"/>
        <n v="4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0">
  <r>
    <x v="0"/>
    <s v="埼玉県"/>
    <x v="0"/>
    <x v="0"/>
    <n v="7"/>
    <n v="0.01"/>
    <n v="0"/>
    <n v="0"/>
    <n v="7"/>
    <n v="0.01"/>
    <x v="0"/>
  </r>
  <r>
    <x v="0"/>
    <s v="埼玉県"/>
    <x v="0"/>
    <x v="1"/>
    <n v="21221"/>
    <n v="15.92"/>
    <n v="4892"/>
    <n v="8.51"/>
    <n v="16326"/>
    <n v="21.75"/>
    <x v="1"/>
  </r>
  <r>
    <x v="0"/>
    <s v="埼玉県"/>
    <x v="0"/>
    <x v="2"/>
    <n v="15868"/>
    <n v="11.91"/>
    <n v="4342"/>
    <n v="7.56"/>
    <n v="11523"/>
    <n v="15.35"/>
    <x v="2"/>
  </r>
  <r>
    <x v="0"/>
    <s v="埼玉県"/>
    <x v="0"/>
    <x v="3"/>
    <n v="129"/>
    <n v="0.1"/>
    <n v="1"/>
    <n v="0"/>
    <n v="118"/>
    <n v="0.16"/>
    <x v="0"/>
  </r>
  <r>
    <x v="0"/>
    <s v="埼玉県"/>
    <x v="0"/>
    <x v="4"/>
    <n v="1485"/>
    <n v="1.1100000000000001"/>
    <n v="60"/>
    <n v="0.1"/>
    <n v="1421"/>
    <n v="1.89"/>
    <x v="3"/>
  </r>
  <r>
    <x v="0"/>
    <s v="埼玉県"/>
    <x v="0"/>
    <x v="5"/>
    <n v="1507"/>
    <n v="1.1299999999999999"/>
    <n v="143"/>
    <n v="0.25"/>
    <n v="1361"/>
    <n v="1.81"/>
    <x v="0"/>
  </r>
  <r>
    <x v="0"/>
    <s v="埼玉県"/>
    <x v="0"/>
    <x v="6"/>
    <n v="25935"/>
    <n v="19.46"/>
    <n v="10114"/>
    <n v="17.600000000000001"/>
    <n v="15809"/>
    <n v="21.06"/>
    <x v="4"/>
  </r>
  <r>
    <x v="0"/>
    <s v="埼玉県"/>
    <x v="0"/>
    <x v="7"/>
    <n v="736"/>
    <n v="0.55000000000000004"/>
    <n v="106"/>
    <n v="0.18"/>
    <n v="629"/>
    <n v="0.84"/>
    <x v="0"/>
  </r>
  <r>
    <x v="0"/>
    <s v="埼玉県"/>
    <x v="0"/>
    <x v="8"/>
    <n v="14274"/>
    <n v="10.71"/>
    <n v="3761"/>
    <n v="6.54"/>
    <n v="10488"/>
    <n v="13.97"/>
    <x v="5"/>
  </r>
  <r>
    <x v="0"/>
    <s v="埼玉県"/>
    <x v="0"/>
    <x v="9"/>
    <n v="6873"/>
    <n v="5.16"/>
    <n v="3082"/>
    <n v="5.36"/>
    <n v="3763"/>
    <n v="5.01"/>
    <x v="6"/>
  </r>
  <r>
    <x v="0"/>
    <s v="埼玉県"/>
    <x v="0"/>
    <x v="10"/>
    <n v="12540"/>
    <n v="9.41"/>
    <n v="9840"/>
    <n v="17.12"/>
    <n v="2669"/>
    <n v="3.56"/>
    <x v="7"/>
  </r>
  <r>
    <x v="0"/>
    <s v="埼玉県"/>
    <x v="0"/>
    <x v="11"/>
    <n v="15782"/>
    <n v="11.84"/>
    <n v="11753"/>
    <n v="20.45"/>
    <n v="3995"/>
    <n v="5.32"/>
    <x v="8"/>
  </r>
  <r>
    <x v="0"/>
    <s v="埼玉県"/>
    <x v="0"/>
    <x v="12"/>
    <n v="5324"/>
    <n v="3.99"/>
    <n v="3541"/>
    <n v="6.16"/>
    <n v="1458"/>
    <n v="1.94"/>
    <x v="9"/>
  </r>
  <r>
    <x v="0"/>
    <s v="埼玉県"/>
    <x v="0"/>
    <x v="13"/>
    <n v="6726"/>
    <n v="5.05"/>
    <n v="4209"/>
    <n v="7.32"/>
    <n v="2366"/>
    <n v="3.15"/>
    <x v="10"/>
  </r>
  <r>
    <x v="0"/>
    <s v="埼玉県"/>
    <x v="0"/>
    <x v="14"/>
    <n v="4877"/>
    <n v="3.66"/>
    <n v="1627"/>
    <n v="2.83"/>
    <n v="3136"/>
    <n v="4.18"/>
    <x v="11"/>
  </r>
  <r>
    <x v="0"/>
    <s v="さいたま市"/>
    <x v="1"/>
    <x v="0"/>
    <n v="0"/>
    <n v="0"/>
    <n v="0"/>
    <n v="0"/>
    <n v="0"/>
    <n v="0"/>
    <x v="0"/>
  </r>
  <r>
    <x v="0"/>
    <s v="さいたま市"/>
    <x v="1"/>
    <x v="1"/>
    <n v="2916"/>
    <n v="13.98"/>
    <n v="392"/>
    <n v="5.34"/>
    <n v="2523"/>
    <n v="18.77"/>
    <x v="12"/>
  </r>
  <r>
    <x v="0"/>
    <s v="さいたま市"/>
    <x v="1"/>
    <x v="2"/>
    <n v="1627"/>
    <n v="7.8"/>
    <n v="351"/>
    <n v="4.78"/>
    <n v="1276"/>
    <n v="9.49"/>
    <x v="0"/>
  </r>
  <r>
    <x v="0"/>
    <s v="さいたま市"/>
    <x v="1"/>
    <x v="3"/>
    <n v="17"/>
    <n v="0.08"/>
    <n v="0"/>
    <n v="0"/>
    <n v="17"/>
    <n v="0.13"/>
    <x v="0"/>
  </r>
  <r>
    <x v="0"/>
    <s v="さいたま市"/>
    <x v="1"/>
    <x v="4"/>
    <n v="349"/>
    <n v="1.67"/>
    <n v="9"/>
    <n v="0.12"/>
    <n v="340"/>
    <n v="2.5299999999999998"/>
    <x v="0"/>
  </r>
  <r>
    <x v="0"/>
    <s v="さいたま市"/>
    <x v="1"/>
    <x v="5"/>
    <n v="200"/>
    <n v="0.96"/>
    <n v="18"/>
    <n v="0.25"/>
    <n v="182"/>
    <n v="1.35"/>
    <x v="0"/>
  </r>
  <r>
    <x v="0"/>
    <s v="さいたま市"/>
    <x v="1"/>
    <x v="6"/>
    <n v="4072"/>
    <n v="19.52"/>
    <n v="1135"/>
    <n v="15.47"/>
    <n v="2934"/>
    <n v="21.83"/>
    <x v="1"/>
  </r>
  <r>
    <x v="0"/>
    <s v="さいたま市"/>
    <x v="1"/>
    <x v="7"/>
    <n v="178"/>
    <n v="0.85"/>
    <n v="15"/>
    <n v="0.2"/>
    <n v="163"/>
    <n v="1.21"/>
    <x v="0"/>
  </r>
  <r>
    <x v="0"/>
    <s v="さいたま市"/>
    <x v="1"/>
    <x v="8"/>
    <n v="2790"/>
    <n v="13.37"/>
    <n v="538"/>
    <n v="7.33"/>
    <n v="2250"/>
    <n v="16.739999999999998"/>
    <x v="12"/>
  </r>
  <r>
    <x v="0"/>
    <s v="さいたま市"/>
    <x v="1"/>
    <x v="9"/>
    <n v="1606"/>
    <n v="7.7"/>
    <n v="634"/>
    <n v="8.64"/>
    <n v="967"/>
    <n v="7.19"/>
    <x v="2"/>
  </r>
  <r>
    <x v="0"/>
    <s v="さいたま市"/>
    <x v="1"/>
    <x v="10"/>
    <n v="1801"/>
    <n v="8.6300000000000008"/>
    <n v="1281"/>
    <n v="17.46"/>
    <n v="519"/>
    <n v="3.86"/>
    <x v="0"/>
  </r>
  <r>
    <x v="0"/>
    <s v="さいたま市"/>
    <x v="1"/>
    <x v="11"/>
    <n v="2375"/>
    <n v="11.38"/>
    <n v="1560"/>
    <n v="21.26"/>
    <n v="813"/>
    <n v="6.05"/>
    <x v="12"/>
  </r>
  <r>
    <x v="0"/>
    <s v="さいたま市"/>
    <x v="1"/>
    <x v="12"/>
    <n v="957"/>
    <n v="4.59"/>
    <n v="544"/>
    <n v="7.41"/>
    <n v="361"/>
    <n v="2.69"/>
    <x v="12"/>
  </r>
  <r>
    <x v="0"/>
    <s v="さいたま市"/>
    <x v="1"/>
    <x v="13"/>
    <n v="1244"/>
    <n v="5.96"/>
    <n v="732"/>
    <n v="9.98"/>
    <n v="506"/>
    <n v="3.76"/>
    <x v="7"/>
  </r>
  <r>
    <x v="0"/>
    <s v="さいたま市"/>
    <x v="1"/>
    <x v="14"/>
    <n v="732"/>
    <n v="3.51"/>
    <n v="129"/>
    <n v="1.76"/>
    <n v="591"/>
    <n v="4.4000000000000004"/>
    <x v="9"/>
  </r>
  <r>
    <x v="0"/>
    <s v="さいたま市西区"/>
    <x v="2"/>
    <x v="0"/>
    <n v="0"/>
    <n v="0"/>
    <n v="0"/>
    <n v="0"/>
    <n v="0"/>
    <n v="0"/>
    <x v="0"/>
  </r>
  <r>
    <x v="0"/>
    <s v="さいたま市西区"/>
    <x v="2"/>
    <x v="1"/>
    <n v="284"/>
    <n v="24.48"/>
    <n v="30"/>
    <n v="8.33"/>
    <n v="254"/>
    <n v="31.95"/>
    <x v="0"/>
  </r>
  <r>
    <x v="0"/>
    <s v="さいたま市西区"/>
    <x v="2"/>
    <x v="2"/>
    <n v="158"/>
    <n v="13.62"/>
    <n v="46"/>
    <n v="12.78"/>
    <n v="112"/>
    <n v="14.09"/>
    <x v="0"/>
  </r>
  <r>
    <x v="0"/>
    <s v="さいたま市西区"/>
    <x v="2"/>
    <x v="3"/>
    <n v="0"/>
    <n v="0"/>
    <n v="0"/>
    <n v="0"/>
    <n v="0"/>
    <n v="0"/>
    <x v="0"/>
  </r>
  <r>
    <x v="0"/>
    <s v="さいたま市西区"/>
    <x v="2"/>
    <x v="4"/>
    <n v="16"/>
    <n v="1.38"/>
    <n v="0"/>
    <n v="0"/>
    <n v="16"/>
    <n v="2.0099999999999998"/>
    <x v="0"/>
  </r>
  <r>
    <x v="0"/>
    <s v="さいたま市西区"/>
    <x v="2"/>
    <x v="5"/>
    <n v="6"/>
    <n v="0.52"/>
    <n v="1"/>
    <n v="0.28000000000000003"/>
    <n v="5"/>
    <n v="0.63"/>
    <x v="0"/>
  </r>
  <r>
    <x v="0"/>
    <s v="さいたま市西区"/>
    <x v="2"/>
    <x v="6"/>
    <n v="200"/>
    <n v="17.239999999999998"/>
    <n v="58"/>
    <n v="16.11"/>
    <n v="141"/>
    <n v="17.739999999999998"/>
    <x v="12"/>
  </r>
  <r>
    <x v="0"/>
    <s v="さいたま市西区"/>
    <x v="2"/>
    <x v="7"/>
    <n v="8"/>
    <n v="0.69"/>
    <n v="2"/>
    <n v="0.56000000000000005"/>
    <n v="6"/>
    <n v="0.75"/>
    <x v="0"/>
  </r>
  <r>
    <x v="0"/>
    <s v="さいたま市西区"/>
    <x v="2"/>
    <x v="8"/>
    <n v="111"/>
    <n v="9.57"/>
    <n v="20"/>
    <n v="5.56"/>
    <n v="91"/>
    <n v="11.45"/>
    <x v="0"/>
  </r>
  <r>
    <x v="0"/>
    <s v="さいたま市西区"/>
    <x v="2"/>
    <x v="9"/>
    <n v="62"/>
    <n v="5.34"/>
    <n v="20"/>
    <n v="5.56"/>
    <n v="42"/>
    <n v="5.28"/>
    <x v="0"/>
  </r>
  <r>
    <x v="0"/>
    <s v="さいたま市西区"/>
    <x v="2"/>
    <x v="10"/>
    <n v="52"/>
    <n v="4.4800000000000004"/>
    <n v="37"/>
    <n v="10.28"/>
    <n v="15"/>
    <n v="1.89"/>
    <x v="0"/>
  </r>
  <r>
    <x v="0"/>
    <s v="さいたま市西区"/>
    <x v="2"/>
    <x v="11"/>
    <n v="106"/>
    <n v="9.14"/>
    <n v="73"/>
    <n v="20.28"/>
    <n v="33"/>
    <n v="4.1500000000000004"/>
    <x v="0"/>
  </r>
  <r>
    <x v="0"/>
    <s v="さいたま市西区"/>
    <x v="2"/>
    <x v="12"/>
    <n v="48"/>
    <n v="4.1399999999999997"/>
    <n v="34"/>
    <n v="9.44"/>
    <n v="10"/>
    <n v="1.26"/>
    <x v="0"/>
  </r>
  <r>
    <x v="0"/>
    <s v="さいたま市西区"/>
    <x v="2"/>
    <x v="13"/>
    <n v="57"/>
    <n v="4.91"/>
    <n v="28"/>
    <n v="7.78"/>
    <n v="29"/>
    <n v="3.65"/>
    <x v="0"/>
  </r>
  <r>
    <x v="0"/>
    <s v="さいたま市西区"/>
    <x v="2"/>
    <x v="14"/>
    <n v="52"/>
    <n v="4.4800000000000004"/>
    <n v="11"/>
    <n v="3.06"/>
    <n v="41"/>
    <n v="5.16"/>
    <x v="0"/>
  </r>
  <r>
    <x v="0"/>
    <s v="さいたま市北区"/>
    <x v="3"/>
    <x v="0"/>
    <n v="0"/>
    <n v="0"/>
    <n v="0"/>
    <n v="0"/>
    <n v="0"/>
    <n v="0"/>
    <x v="0"/>
  </r>
  <r>
    <x v="0"/>
    <s v="さいたま市北区"/>
    <x v="3"/>
    <x v="1"/>
    <n v="298"/>
    <n v="13.3"/>
    <n v="29"/>
    <n v="3.55"/>
    <n v="269"/>
    <n v="18.98"/>
    <x v="0"/>
  </r>
  <r>
    <x v="0"/>
    <s v="さいたま市北区"/>
    <x v="3"/>
    <x v="2"/>
    <n v="98"/>
    <n v="4.37"/>
    <n v="15"/>
    <n v="1.84"/>
    <n v="83"/>
    <n v="5.86"/>
    <x v="0"/>
  </r>
  <r>
    <x v="0"/>
    <s v="さいたま市北区"/>
    <x v="3"/>
    <x v="3"/>
    <n v="1"/>
    <n v="0.04"/>
    <n v="0"/>
    <n v="0"/>
    <n v="1"/>
    <n v="7.0000000000000007E-2"/>
    <x v="0"/>
  </r>
  <r>
    <x v="0"/>
    <s v="さいたま市北区"/>
    <x v="3"/>
    <x v="4"/>
    <n v="37"/>
    <n v="1.65"/>
    <n v="2"/>
    <n v="0.24"/>
    <n v="35"/>
    <n v="2.4700000000000002"/>
    <x v="0"/>
  </r>
  <r>
    <x v="0"/>
    <s v="さいたま市北区"/>
    <x v="3"/>
    <x v="5"/>
    <n v="26"/>
    <n v="1.1599999999999999"/>
    <n v="2"/>
    <n v="0.24"/>
    <n v="24"/>
    <n v="1.69"/>
    <x v="0"/>
  </r>
  <r>
    <x v="0"/>
    <s v="さいたま市北区"/>
    <x v="3"/>
    <x v="6"/>
    <n v="496"/>
    <n v="22.13"/>
    <n v="122"/>
    <n v="14.93"/>
    <n v="374"/>
    <n v="26.39"/>
    <x v="0"/>
  </r>
  <r>
    <x v="0"/>
    <s v="さいたま市北区"/>
    <x v="3"/>
    <x v="7"/>
    <n v="13"/>
    <n v="0.57999999999999996"/>
    <n v="0"/>
    <n v="0"/>
    <n v="13"/>
    <n v="0.92"/>
    <x v="0"/>
  </r>
  <r>
    <x v="0"/>
    <s v="さいたま市北区"/>
    <x v="3"/>
    <x v="8"/>
    <n v="319"/>
    <n v="14.23"/>
    <n v="72"/>
    <n v="8.81"/>
    <n v="246"/>
    <n v="17.36"/>
    <x v="0"/>
  </r>
  <r>
    <x v="0"/>
    <s v="さいたま市北区"/>
    <x v="3"/>
    <x v="9"/>
    <n v="149"/>
    <n v="6.65"/>
    <n v="65"/>
    <n v="7.96"/>
    <n v="83"/>
    <n v="5.86"/>
    <x v="0"/>
  </r>
  <r>
    <x v="0"/>
    <s v="さいたま市北区"/>
    <x v="3"/>
    <x v="10"/>
    <n v="203"/>
    <n v="9.06"/>
    <n v="146"/>
    <n v="17.87"/>
    <n v="57"/>
    <n v="4.0199999999999996"/>
    <x v="0"/>
  </r>
  <r>
    <x v="0"/>
    <s v="さいたま市北区"/>
    <x v="3"/>
    <x v="11"/>
    <n v="272"/>
    <n v="12.14"/>
    <n v="191"/>
    <n v="23.38"/>
    <n v="81"/>
    <n v="5.72"/>
    <x v="0"/>
  </r>
  <r>
    <x v="0"/>
    <s v="さいたま市北区"/>
    <x v="3"/>
    <x v="12"/>
    <n v="109"/>
    <n v="4.8600000000000003"/>
    <n v="65"/>
    <n v="7.96"/>
    <n v="41"/>
    <n v="2.89"/>
    <x v="0"/>
  </r>
  <r>
    <x v="0"/>
    <s v="さいたま市北区"/>
    <x v="3"/>
    <x v="13"/>
    <n v="137"/>
    <n v="6.11"/>
    <n v="90"/>
    <n v="11.02"/>
    <n v="47"/>
    <n v="3.32"/>
    <x v="0"/>
  </r>
  <r>
    <x v="0"/>
    <s v="さいたま市北区"/>
    <x v="3"/>
    <x v="14"/>
    <n v="83"/>
    <n v="3.7"/>
    <n v="18"/>
    <n v="2.2000000000000002"/>
    <n v="63"/>
    <n v="4.45"/>
    <x v="2"/>
  </r>
  <r>
    <x v="0"/>
    <s v="さいたま市大宮区"/>
    <x v="4"/>
    <x v="0"/>
    <n v="0"/>
    <n v="0"/>
    <n v="0"/>
    <n v="0"/>
    <n v="0"/>
    <n v="0"/>
    <x v="0"/>
  </r>
  <r>
    <x v="0"/>
    <s v="さいたま市大宮区"/>
    <x v="4"/>
    <x v="1"/>
    <n v="274"/>
    <n v="9.1300000000000008"/>
    <n v="15"/>
    <n v="1.6"/>
    <n v="259"/>
    <n v="12.62"/>
    <x v="0"/>
  </r>
  <r>
    <x v="0"/>
    <s v="さいたま市大宮区"/>
    <x v="4"/>
    <x v="2"/>
    <n v="81"/>
    <n v="2.7"/>
    <n v="14"/>
    <n v="1.49"/>
    <n v="67"/>
    <n v="3.27"/>
    <x v="0"/>
  </r>
  <r>
    <x v="0"/>
    <s v="さいたま市大宮区"/>
    <x v="4"/>
    <x v="3"/>
    <n v="5"/>
    <n v="0.17"/>
    <n v="0"/>
    <n v="0"/>
    <n v="5"/>
    <n v="0.24"/>
    <x v="0"/>
  </r>
  <r>
    <x v="0"/>
    <s v="さいたま市大宮区"/>
    <x v="4"/>
    <x v="4"/>
    <n v="51"/>
    <n v="1.7"/>
    <n v="1"/>
    <n v="0.11"/>
    <n v="50"/>
    <n v="2.44"/>
    <x v="0"/>
  </r>
  <r>
    <x v="0"/>
    <s v="さいたま市大宮区"/>
    <x v="4"/>
    <x v="5"/>
    <n v="21"/>
    <n v="0.7"/>
    <n v="1"/>
    <n v="0.11"/>
    <n v="20"/>
    <n v="0.97"/>
    <x v="0"/>
  </r>
  <r>
    <x v="0"/>
    <s v="さいたま市大宮区"/>
    <x v="4"/>
    <x v="6"/>
    <n v="722"/>
    <n v="24.07"/>
    <n v="132"/>
    <n v="14.07"/>
    <n v="590"/>
    <n v="28.75"/>
    <x v="0"/>
  </r>
  <r>
    <x v="0"/>
    <s v="さいたま市大宮区"/>
    <x v="4"/>
    <x v="7"/>
    <n v="42"/>
    <n v="1.4"/>
    <n v="1"/>
    <n v="0.11"/>
    <n v="41"/>
    <n v="2"/>
    <x v="0"/>
  </r>
  <r>
    <x v="0"/>
    <s v="さいたま市大宮区"/>
    <x v="4"/>
    <x v="8"/>
    <n v="472"/>
    <n v="15.73"/>
    <n v="116"/>
    <n v="12.37"/>
    <n v="356"/>
    <n v="17.350000000000001"/>
    <x v="0"/>
  </r>
  <r>
    <x v="0"/>
    <s v="さいたま市大宮区"/>
    <x v="4"/>
    <x v="9"/>
    <n v="265"/>
    <n v="8.83"/>
    <n v="88"/>
    <n v="9.3800000000000008"/>
    <n v="175"/>
    <n v="8.5299999999999994"/>
    <x v="12"/>
  </r>
  <r>
    <x v="0"/>
    <s v="さいたま市大宮区"/>
    <x v="4"/>
    <x v="10"/>
    <n v="345"/>
    <n v="11.5"/>
    <n v="214"/>
    <n v="22.81"/>
    <n v="131"/>
    <n v="6.38"/>
    <x v="0"/>
  </r>
  <r>
    <x v="0"/>
    <s v="さいたま市大宮区"/>
    <x v="4"/>
    <x v="11"/>
    <n v="310"/>
    <n v="10.33"/>
    <n v="180"/>
    <n v="19.190000000000001"/>
    <n v="130"/>
    <n v="6.34"/>
    <x v="0"/>
  </r>
  <r>
    <x v="0"/>
    <s v="さいたま市大宮区"/>
    <x v="4"/>
    <x v="12"/>
    <n v="136"/>
    <n v="4.53"/>
    <n v="65"/>
    <n v="6.93"/>
    <n v="65"/>
    <n v="3.17"/>
    <x v="0"/>
  </r>
  <r>
    <x v="0"/>
    <s v="さいたま市大宮区"/>
    <x v="4"/>
    <x v="13"/>
    <n v="167"/>
    <n v="5.57"/>
    <n v="104"/>
    <n v="11.09"/>
    <n v="63"/>
    <n v="3.07"/>
    <x v="0"/>
  </r>
  <r>
    <x v="0"/>
    <s v="さいたま市大宮区"/>
    <x v="4"/>
    <x v="14"/>
    <n v="109"/>
    <n v="3.63"/>
    <n v="7"/>
    <n v="0.75"/>
    <n v="100"/>
    <n v="4.87"/>
    <x v="2"/>
  </r>
  <r>
    <x v="0"/>
    <s v="さいたま市見沼区"/>
    <x v="5"/>
    <x v="0"/>
    <n v="0"/>
    <n v="0"/>
    <n v="0"/>
    <n v="0"/>
    <n v="0"/>
    <n v="0"/>
    <x v="0"/>
  </r>
  <r>
    <x v="0"/>
    <s v="さいたま市見沼区"/>
    <x v="5"/>
    <x v="1"/>
    <n v="409"/>
    <n v="18.079999999999998"/>
    <n v="56"/>
    <n v="6.36"/>
    <n v="353"/>
    <n v="25.65"/>
    <x v="0"/>
  </r>
  <r>
    <x v="0"/>
    <s v="さいたま市見沼区"/>
    <x v="5"/>
    <x v="2"/>
    <n v="159"/>
    <n v="7.03"/>
    <n v="36"/>
    <n v="4.09"/>
    <n v="123"/>
    <n v="8.94"/>
    <x v="0"/>
  </r>
  <r>
    <x v="0"/>
    <s v="さいたま市見沼区"/>
    <x v="5"/>
    <x v="3"/>
    <n v="1"/>
    <n v="0.04"/>
    <n v="0"/>
    <n v="0"/>
    <n v="1"/>
    <n v="7.0000000000000007E-2"/>
    <x v="0"/>
  </r>
  <r>
    <x v="0"/>
    <s v="さいたま市見沼区"/>
    <x v="5"/>
    <x v="4"/>
    <n v="35"/>
    <n v="1.55"/>
    <n v="1"/>
    <n v="0.11"/>
    <n v="34"/>
    <n v="2.4700000000000002"/>
    <x v="0"/>
  </r>
  <r>
    <x v="0"/>
    <s v="さいたま市見沼区"/>
    <x v="5"/>
    <x v="5"/>
    <n v="18"/>
    <n v="0.8"/>
    <n v="3"/>
    <n v="0.34"/>
    <n v="15"/>
    <n v="1.0900000000000001"/>
    <x v="0"/>
  </r>
  <r>
    <x v="0"/>
    <s v="さいたま市見沼区"/>
    <x v="5"/>
    <x v="6"/>
    <n v="433"/>
    <n v="19.14"/>
    <n v="161"/>
    <n v="18.27"/>
    <n v="272"/>
    <n v="19.77"/>
    <x v="0"/>
  </r>
  <r>
    <x v="0"/>
    <s v="さいたま市見沼区"/>
    <x v="5"/>
    <x v="7"/>
    <n v="22"/>
    <n v="0.97"/>
    <n v="2"/>
    <n v="0.23"/>
    <n v="20"/>
    <n v="1.45"/>
    <x v="0"/>
  </r>
  <r>
    <x v="0"/>
    <s v="さいたま市見沼区"/>
    <x v="5"/>
    <x v="8"/>
    <n v="261"/>
    <n v="11.54"/>
    <n v="45"/>
    <n v="5.1100000000000003"/>
    <n v="216"/>
    <n v="15.7"/>
    <x v="0"/>
  </r>
  <r>
    <x v="0"/>
    <s v="さいたま市見沼区"/>
    <x v="5"/>
    <x v="9"/>
    <n v="165"/>
    <n v="7.29"/>
    <n v="64"/>
    <n v="7.26"/>
    <n v="101"/>
    <n v="7.34"/>
    <x v="0"/>
  </r>
  <r>
    <x v="0"/>
    <s v="さいたま市見沼区"/>
    <x v="5"/>
    <x v="10"/>
    <n v="178"/>
    <n v="7.87"/>
    <n v="141"/>
    <n v="16"/>
    <n v="37"/>
    <n v="2.69"/>
    <x v="0"/>
  </r>
  <r>
    <x v="0"/>
    <s v="さいたま市見沼区"/>
    <x v="5"/>
    <x v="11"/>
    <n v="261"/>
    <n v="11.54"/>
    <n v="195"/>
    <n v="22.13"/>
    <n v="66"/>
    <n v="4.8"/>
    <x v="0"/>
  </r>
  <r>
    <x v="0"/>
    <s v="さいたま市見沼区"/>
    <x v="5"/>
    <x v="12"/>
    <n v="119"/>
    <n v="5.26"/>
    <n v="81"/>
    <n v="9.19"/>
    <n v="34"/>
    <n v="2.4700000000000002"/>
    <x v="0"/>
  </r>
  <r>
    <x v="0"/>
    <s v="さいたま市見沼区"/>
    <x v="5"/>
    <x v="13"/>
    <n v="130"/>
    <n v="5.75"/>
    <n v="79"/>
    <n v="8.9700000000000006"/>
    <n v="50"/>
    <n v="3.63"/>
    <x v="12"/>
  </r>
  <r>
    <x v="0"/>
    <s v="さいたま市見沼区"/>
    <x v="5"/>
    <x v="14"/>
    <n v="71"/>
    <n v="3.14"/>
    <n v="17"/>
    <n v="1.93"/>
    <n v="54"/>
    <n v="3.92"/>
    <x v="0"/>
  </r>
  <r>
    <x v="0"/>
    <s v="さいたま市中央区"/>
    <x v="6"/>
    <x v="0"/>
    <n v="0"/>
    <n v="0"/>
    <n v="0"/>
    <n v="0"/>
    <n v="0"/>
    <n v="0"/>
    <x v="0"/>
  </r>
  <r>
    <x v="0"/>
    <s v="さいたま市中央区"/>
    <x v="6"/>
    <x v="1"/>
    <n v="177"/>
    <n v="11.5"/>
    <n v="10"/>
    <n v="1.85"/>
    <n v="167"/>
    <n v="16.89"/>
    <x v="0"/>
  </r>
  <r>
    <x v="0"/>
    <s v="さいたま市中央区"/>
    <x v="6"/>
    <x v="2"/>
    <n v="89"/>
    <n v="5.78"/>
    <n v="14"/>
    <n v="2.58"/>
    <n v="75"/>
    <n v="7.58"/>
    <x v="0"/>
  </r>
  <r>
    <x v="0"/>
    <s v="さいたま市中央区"/>
    <x v="6"/>
    <x v="3"/>
    <n v="1"/>
    <n v="0.06"/>
    <n v="0"/>
    <n v="0"/>
    <n v="1"/>
    <n v="0.1"/>
    <x v="0"/>
  </r>
  <r>
    <x v="0"/>
    <s v="さいたま市中央区"/>
    <x v="6"/>
    <x v="4"/>
    <n v="31"/>
    <n v="2.0099999999999998"/>
    <n v="1"/>
    <n v="0.18"/>
    <n v="30"/>
    <n v="3.03"/>
    <x v="0"/>
  </r>
  <r>
    <x v="0"/>
    <s v="さいたま市中央区"/>
    <x v="6"/>
    <x v="5"/>
    <n v="13"/>
    <n v="0.84"/>
    <n v="2"/>
    <n v="0.37"/>
    <n v="11"/>
    <n v="1.1100000000000001"/>
    <x v="0"/>
  </r>
  <r>
    <x v="0"/>
    <s v="さいたま市中央区"/>
    <x v="6"/>
    <x v="6"/>
    <n v="279"/>
    <n v="18.13"/>
    <n v="77"/>
    <n v="14.21"/>
    <n v="202"/>
    <n v="20.420000000000002"/>
    <x v="0"/>
  </r>
  <r>
    <x v="0"/>
    <s v="さいたま市中央区"/>
    <x v="6"/>
    <x v="7"/>
    <n v="15"/>
    <n v="0.97"/>
    <n v="1"/>
    <n v="0.18"/>
    <n v="14"/>
    <n v="1.42"/>
    <x v="0"/>
  </r>
  <r>
    <x v="0"/>
    <s v="さいたま市中央区"/>
    <x v="6"/>
    <x v="8"/>
    <n v="188"/>
    <n v="12.22"/>
    <n v="39"/>
    <n v="7.2"/>
    <n v="149"/>
    <n v="15.07"/>
    <x v="0"/>
  </r>
  <r>
    <x v="0"/>
    <s v="さいたま市中央区"/>
    <x v="6"/>
    <x v="9"/>
    <n v="159"/>
    <n v="10.33"/>
    <n v="66"/>
    <n v="12.18"/>
    <n v="93"/>
    <n v="9.4"/>
    <x v="0"/>
  </r>
  <r>
    <x v="0"/>
    <s v="さいたま市中央区"/>
    <x v="6"/>
    <x v="10"/>
    <n v="137"/>
    <n v="8.9"/>
    <n v="94"/>
    <n v="17.34"/>
    <n v="42"/>
    <n v="4.25"/>
    <x v="0"/>
  </r>
  <r>
    <x v="0"/>
    <s v="さいたま市中央区"/>
    <x v="6"/>
    <x v="11"/>
    <n v="213"/>
    <n v="13.84"/>
    <n v="140"/>
    <n v="25.83"/>
    <n v="72"/>
    <n v="7.28"/>
    <x v="0"/>
  </r>
  <r>
    <x v="0"/>
    <s v="さいたま市中央区"/>
    <x v="6"/>
    <x v="12"/>
    <n v="62"/>
    <n v="4.03"/>
    <n v="30"/>
    <n v="5.54"/>
    <n v="27"/>
    <n v="2.73"/>
    <x v="0"/>
  </r>
  <r>
    <x v="0"/>
    <s v="さいたま市中央区"/>
    <x v="6"/>
    <x v="13"/>
    <n v="115"/>
    <n v="7.47"/>
    <n v="62"/>
    <n v="11.44"/>
    <n v="53"/>
    <n v="5.36"/>
    <x v="0"/>
  </r>
  <r>
    <x v="0"/>
    <s v="さいたま市中央区"/>
    <x v="6"/>
    <x v="14"/>
    <n v="60"/>
    <n v="3.9"/>
    <n v="6"/>
    <n v="1.1100000000000001"/>
    <n v="53"/>
    <n v="5.36"/>
    <x v="0"/>
  </r>
  <r>
    <x v="0"/>
    <s v="さいたま市桜区"/>
    <x v="7"/>
    <x v="0"/>
    <n v="0"/>
    <n v="0"/>
    <n v="0"/>
    <n v="0"/>
    <n v="0"/>
    <n v="0"/>
    <x v="0"/>
  </r>
  <r>
    <x v="0"/>
    <s v="さいたま市桜区"/>
    <x v="7"/>
    <x v="1"/>
    <n v="254"/>
    <n v="18.22"/>
    <n v="38"/>
    <n v="7.87"/>
    <n v="216"/>
    <n v="23.84"/>
    <x v="0"/>
  </r>
  <r>
    <x v="0"/>
    <s v="さいたま市桜区"/>
    <x v="7"/>
    <x v="2"/>
    <n v="177"/>
    <n v="12.7"/>
    <n v="25"/>
    <n v="5.18"/>
    <n v="152"/>
    <n v="16.78"/>
    <x v="0"/>
  </r>
  <r>
    <x v="0"/>
    <s v="さいたま市桜区"/>
    <x v="7"/>
    <x v="3"/>
    <n v="2"/>
    <n v="0.14000000000000001"/>
    <n v="0"/>
    <n v="0"/>
    <n v="2"/>
    <n v="0.22"/>
    <x v="0"/>
  </r>
  <r>
    <x v="0"/>
    <s v="さいたま市桜区"/>
    <x v="7"/>
    <x v="4"/>
    <n v="23"/>
    <n v="1.65"/>
    <n v="1"/>
    <n v="0.21"/>
    <n v="22"/>
    <n v="2.4300000000000002"/>
    <x v="0"/>
  </r>
  <r>
    <x v="0"/>
    <s v="さいたま市桜区"/>
    <x v="7"/>
    <x v="5"/>
    <n v="22"/>
    <n v="1.58"/>
    <n v="1"/>
    <n v="0.21"/>
    <n v="21"/>
    <n v="2.3199999999999998"/>
    <x v="0"/>
  </r>
  <r>
    <x v="0"/>
    <s v="さいたま市桜区"/>
    <x v="7"/>
    <x v="6"/>
    <n v="210"/>
    <n v="15.06"/>
    <n v="58"/>
    <n v="12.01"/>
    <n v="152"/>
    <n v="16.78"/>
    <x v="0"/>
  </r>
  <r>
    <x v="0"/>
    <s v="さいたま市桜区"/>
    <x v="7"/>
    <x v="7"/>
    <n v="3"/>
    <n v="0.22"/>
    <n v="1"/>
    <n v="0.21"/>
    <n v="2"/>
    <n v="0.22"/>
    <x v="0"/>
  </r>
  <r>
    <x v="0"/>
    <s v="さいたま市桜区"/>
    <x v="7"/>
    <x v="8"/>
    <n v="195"/>
    <n v="13.99"/>
    <n v="60"/>
    <n v="12.42"/>
    <n v="135"/>
    <n v="14.9"/>
    <x v="0"/>
  </r>
  <r>
    <x v="0"/>
    <s v="さいたま市桜区"/>
    <x v="7"/>
    <x v="9"/>
    <n v="74"/>
    <n v="5.31"/>
    <n v="24"/>
    <n v="4.97"/>
    <n v="50"/>
    <n v="5.52"/>
    <x v="0"/>
  </r>
  <r>
    <x v="0"/>
    <s v="さいたま市桜区"/>
    <x v="7"/>
    <x v="10"/>
    <n v="123"/>
    <n v="8.82"/>
    <n v="101"/>
    <n v="20.91"/>
    <n v="22"/>
    <n v="2.4300000000000002"/>
    <x v="0"/>
  </r>
  <r>
    <x v="0"/>
    <s v="さいたま市桜区"/>
    <x v="7"/>
    <x v="11"/>
    <n v="153"/>
    <n v="10.98"/>
    <n v="106"/>
    <n v="21.95"/>
    <n v="47"/>
    <n v="5.19"/>
    <x v="0"/>
  </r>
  <r>
    <x v="0"/>
    <s v="さいたま市桜区"/>
    <x v="7"/>
    <x v="12"/>
    <n v="56"/>
    <n v="4.0199999999999996"/>
    <n v="35"/>
    <n v="7.25"/>
    <n v="16"/>
    <n v="1.77"/>
    <x v="0"/>
  </r>
  <r>
    <x v="0"/>
    <s v="さいたま市桜区"/>
    <x v="7"/>
    <x v="13"/>
    <n v="57"/>
    <n v="4.09"/>
    <n v="26"/>
    <n v="5.38"/>
    <n v="31"/>
    <n v="3.42"/>
    <x v="0"/>
  </r>
  <r>
    <x v="0"/>
    <s v="さいたま市桜区"/>
    <x v="7"/>
    <x v="14"/>
    <n v="45"/>
    <n v="3.23"/>
    <n v="7"/>
    <n v="1.45"/>
    <n v="38"/>
    <n v="4.1900000000000004"/>
    <x v="0"/>
  </r>
  <r>
    <x v="0"/>
    <s v="さいたま市浦和区"/>
    <x v="8"/>
    <x v="0"/>
    <n v="0"/>
    <n v="0"/>
    <n v="0"/>
    <n v="0"/>
    <n v="0"/>
    <n v="0"/>
    <x v="0"/>
  </r>
  <r>
    <x v="0"/>
    <s v="さいたま市浦和区"/>
    <x v="8"/>
    <x v="1"/>
    <n v="163"/>
    <n v="5.6"/>
    <n v="31"/>
    <n v="2.74"/>
    <n v="132"/>
    <n v="7.5"/>
    <x v="0"/>
  </r>
  <r>
    <x v="0"/>
    <s v="さいたま市浦和区"/>
    <x v="8"/>
    <x v="2"/>
    <n v="85"/>
    <n v="2.92"/>
    <n v="15"/>
    <n v="1.33"/>
    <n v="70"/>
    <n v="3.98"/>
    <x v="0"/>
  </r>
  <r>
    <x v="0"/>
    <s v="さいたま市浦和区"/>
    <x v="8"/>
    <x v="3"/>
    <n v="2"/>
    <n v="7.0000000000000007E-2"/>
    <n v="0"/>
    <n v="0"/>
    <n v="2"/>
    <n v="0.11"/>
    <x v="0"/>
  </r>
  <r>
    <x v="0"/>
    <s v="さいたま市浦和区"/>
    <x v="8"/>
    <x v="4"/>
    <n v="56"/>
    <n v="1.92"/>
    <n v="0"/>
    <n v="0"/>
    <n v="56"/>
    <n v="3.18"/>
    <x v="0"/>
  </r>
  <r>
    <x v="0"/>
    <s v="さいたま市浦和区"/>
    <x v="8"/>
    <x v="5"/>
    <n v="13"/>
    <n v="0.45"/>
    <n v="2"/>
    <n v="0.18"/>
    <n v="11"/>
    <n v="0.63"/>
    <x v="0"/>
  </r>
  <r>
    <x v="0"/>
    <s v="さいたま市浦和区"/>
    <x v="8"/>
    <x v="6"/>
    <n v="612"/>
    <n v="21.03"/>
    <n v="184"/>
    <n v="16.25"/>
    <n v="427"/>
    <n v="24.28"/>
    <x v="12"/>
  </r>
  <r>
    <x v="0"/>
    <s v="さいたま市浦和区"/>
    <x v="8"/>
    <x v="7"/>
    <n v="32"/>
    <n v="1.1000000000000001"/>
    <n v="2"/>
    <n v="0.18"/>
    <n v="30"/>
    <n v="1.71"/>
    <x v="0"/>
  </r>
  <r>
    <x v="0"/>
    <s v="さいたま市浦和区"/>
    <x v="8"/>
    <x v="8"/>
    <n v="450"/>
    <n v="15.46"/>
    <n v="68"/>
    <n v="6.01"/>
    <n v="381"/>
    <n v="21.66"/>
    <x v="12"/>
  </r>
  <r>
    <x v="0"/>
    <s v="さいたま市浦和区"/>
    <x v="8"/>
    <x v="9"/>
    <n v="316"/>
    <n v="10.86"/>
    <n v="162"/>
    <n v="14.31"/>
    <n v="154"/>
    <n v="8.75"/>
    <x v="0"/>
  </r>
  <r>
    <x v="0"/>
    <s v="さいたま市浦和区"/>
    <x v="8"/>
    <x v="10"/>
    <n v="326"/>
    <n v="11.2"/>
    <n v="218"/>
    <n v="19.260000000000002"/>
    <n v="108"/>
    <n v="6.14"/>
    <x v="0"/>
  </r>
  <r>
    <x v="0"/>
    <s v="さいたま市浦和区"/>
    <x v="8"/>
    <x v="11"/>
    <n v="361"/>
    <n v="12.41"/>
    <n v="204"/>
    <n v="18.02"/>
    <n v="156"/>
    <n v="8.8699999999999992"/>
    <x v="12"/>
  </r>
  <r>
    <x v="0"/>
    <s v="さいたま市浦和区"/>
    <x v="8"/>
    <x v="12"/>
    <n v="161"/>
    <n v="5.53"/>
    <n v="85"/>
    <n v="7.51"/>
    <n v="66"/>
    <n v="3.75"/>
    <x v="12"/>
  </r>
  <r>
    <x v="0"/>
    <s v="さいたま市浦和区"/>
    <x v="8"/>
    <x v="13"/>
    <n v="242"/>
    <n v="8.32"/>
    <n v="148"/>
    <n v="13.07"/>
    <n v="91"/>
    <n v="5.17"/>
    <x v="2"/>
  </r>
  <r>
    <x v="0"/>
    <s v="さいたま市浦和区"/>
    <x v="8"/>
    <x v="14"/>
    <n v="91"/>
    <n v="3.13"/>
    <n v="13"/>
    <n v="1.1499999999999999"/>
    <n v="75"/>
    <n v="4.26"/>
    <x v="1"/>
  </r>
  <r>
    <x v="0"/>
    <s v="さいたま市南区"/>
    <x v="9"/>
    <x v="0"/>
    <n v="0"/>
    <n v="0"/>
    <n v="0"/>
    <n v="0"/>
    <n v="0"/>
    <n v="0"/>
    <x v="0"/>
  </r>
  <r>
    <x v="0"/>
    <s v="さいたま市南区"/>
    <x v="9"/>
    <x v="1"/>
    <n v="341"/>
    <n v="13.46"/>
    <n v="40"/>
    <n v="5.03"/>
    <n v="300"/>
    <n v="17.39"/>
    <x v="12"/>
  </r>
  <r>
    <x v="0"/>
    <s v="さいたま市南区"/>
    <x v="9"/>
    <x v="2"/>
    <n v="174"/>
    <n v="6.87"/>
    <n v="24"/>
    <n v="3.02"/>
    <n v="150"/>
    <n v="8.6999999999999993"/>
    <x v="0"/>
  </r>
  <r>
    <x v="0"/>
    <s v="さいたま市南区"/>
    <x v="9"/>
    <x v="3"/>
    <n v="3"/>
    <n v="0.12"/>
    <n v="0"/>
    <n v="0"/>
    <n v="3"/>
    <n v="0.17"/>
    <x v="0"/>
  </r>
  <r>
    <x v="0"/>
    <s v="さいたま市南区"/>
    <x v="9"/>
    <x v="4"/>
    <n v="65"/>
    <n v="2.57"/>
    <n v="2"/>
    <n v="0.25"/>
    <n v="63"/>
    <n v="3.65"/>
    <x v="0"/>
  </r>
  <r>
    <x v="0"/>
    <s v="さいたま市南区"/>
    <x v="9"/>
    <x v="5"/>
    <n v="24"/>
    <n v="0.95"/>
    <n v="3"/>
    <n v="0.38"/>
    <n v="21"/>
    <n v="1.22"/>
    <x v="0"/>
  </r>
  <r>
    <x v="0"/>
    <s v="さいたま市南区"/>
    <x v="9"/>
    <x v="6"/>
    <n v="392"/>
    <n v="15.48"/>
    <n v="102"/>
    <n v="12.81"/>
    <n v="289"/>
    <n v="16.75"/>
    <x v="12"/>
  </r>
  <r>
    <x v="0"/>
    <s v="さいたま市南区"/>
    <x v="9"/>
    <x v="7"/>
    <n v="19"/>
    <n v="0.75"/>
    <n v="2"/>
    <n v="0.25"/>
    <n v="17"/>
    <n v="0.99"/>
    <x v="0"/>
  </r>
  <r>
    <x v="0"/>
    <s v="さいたま市南区"/>
    <x v="9"/>
    <x v="8"/>
    <n v="428"/>
    <n v="16.899999999999999"/>
    <n v="56"/>
    <n v="7.04"/>
    <n v="372"/>
    <n v="21.57"/>
    <x v="0"/>
  </r>
  <r>
    <x v="0"/>
    <s v="さいたま市南区"/>
    <x v="9"/>
    <x v="9"/>
    <n v="218"/>
    <n v="8.61"/>
    <n v="63"/>
    <n v="7.91"/>
    <n v="153"/>
    <n v="8.8699999999999992"/>
    <x v="12"/>
  </r>
  <r>
    <x v="0"/>
    <s v="さいたま市南区"/>
    <x v="9"/>
    <x v="10"/>
    <n v="198"/>
    <n v="7.82"/>
    <n v="140"/>
    <n v="17.59"/>
    <n v="58"/>
    <n v="3.36"/>
    <x v="0"/>
  </r>
  <r>
    <x v="0"/>
    <s v="さいたま市南区"/>
    <x v="9"/>
    <x v="11"/>
    <n v="299"/>
    <n v="11.8"/>
    <n v="189"/>
    <n v="23.74"/>
    <n v="110"/>
    <n v="6.38"/>
    <x v="0"/>
  </r>
  <r>
    <x v="0"/>
    <s v="さいたま市南区"/>
    <x v="9"/>
    <x v="12"/>
    <n v="137"/>
    <n v="5.41"/>
    <n v="69"/>
    <n v="8.67"/>
    <n v="61"/>
    <n v="3.54"/>
    <x v="0"/>
  </r>
  <r>
    <x v="0"/>
    <s v="さいたま市南区"/>
    <x v="9"/>
    <x v="13"/>
    <n v="155"/>
    <n v="6.12"/>
    <n v="95"/>
    <n v="11.93"/>
    <n v="60"/>
    <n v="3.48"/>
    <x v="0"/>
  </r>
  <r>
    <x v="0"/>
    <s v="さいたま市南区"/>
    <x v="9"/>
    <x v="14"/>
    <n v="80"/>
    <n v="3.16"/>
    <n v="11"/>
    <n v="1.38"/>
    <n v="68"/>
    <n v="3.94"/>
    <x v="12"/>
  </r>
  <r>
    <x v="0"/>
    <s v="さいたま市緑区"/>
    <x v="10"/>
    <x v="0"/>
    <n v="0"/>
    <n v="0"/>
    <n v="0"/>
    <n v="0"/>
    <n v="0"/>
    <n v="0"/>
    <x v="0"/>
  </r>
  <r>
    <x v="0"/>
    <s v="さいたま市緑区"/>
    <x v="10"/>
    <x v="1"/>
    <n v="297"/>
    <n v="19.05"/>
    <n v="48"/>
    <n v="9.82"/>
    <n v="249"/>
    <n v="23.36"/>
    <x v="0"/>
  </r>
  <r>
    <x v="0"/>
    <s v="さいたま市緑区"/>
    <x v="10"/>
    <x v="2"/>
    <n v="159"/>
    <n v="10.199999999999999"/>
    <n v="44"/>
    <n v="9"/>
    <n v="115"/>
    <n v="10.79"/>
    <x v="0"/>
  </r>
  <r>
    <x v="0"/>
    <s v="さいたま市緑区"/>
    <x v="10"/>
    <x v="3"/>
    <n v="2"/>
    <n v="0.13"/>
    <n v="0"/>
    <n v="0"/>
    <n v="2"/>
    <n v="0.19"/>
    <x v="0"/>
  </r>
  <r>
    <x v="0"/>
    <s v="さいたま市緑区"/>
    <x v="10"/>
    <x v="4"/>
    <n v="24"/>
    <n v="1.54"/>
    <n v="0"/>
    <n v="0"/>
    <n v="24"/>
    <n v="2.25"/>
    <x v="0"/>
  </r>
  <r>
    <x v="0"/>
    <s v="さいたま市緑区"/>
    <x v="10"/>
    <x v="5"/>
    <n v="13"/>
    <n v="0.83"/>
    <n v="1"/>
    <n v="0.2"/>
    <n v="12"/>
    <n v="1.1299999999999999"/>
    <x v="0"/>
  </r>
  <r>
    <x v="0"/>
    <s v="さいたま市緑区"/>
    <x v="10"/>
    <x v="6"/>
    <n v="295"/>
    <n v="18.920000000000002"/>
    <n v="67"/>
    <n v="13.7"/>
    <n v="228"/>
    <n v="21.39"/>
    <x v="0"/>
  </r>
  <r>
    <x v="0"/>
    <s v="さいたま市緑区"/>
    <x v="10"/>
    <x v="7"/>
    <n v="12"/>
    <n v="0.77"/>
    <n v="2"/>
    <n v="0.41"/>
    <n v="10"/>
    <n v="0.94"/>
    <x v="0"/>
  </r>
  <r>
    <x v="0"/>
    <s v="さいたま市緑区"/>
    <x v="10"/>
    <x v="8"/>
    <n v="193"/>
    <n v="12.38"/>
    <n v="28"/>
    <n v="5.73"/>
    <n v="165"/>
    <n v="15.48"/>
    <x v="0"/>
  </r>
  <r>
    <x v="0"/>
    <s v="さいたま市緑区"/>
    <x v="10"/>
    <x v="9"/>
    <n v="103"/>
    <n v="6.61"/>
    <n v="32"/>
    <n v="6.54"/>
    <n v="71"/>
    <n v="6.66"/>
    <x v="0"/>
  </r>
  <r>
    <x v="0"/>
    <s v="さいたま市緑区"/>
    <x v="10"/>
    <x v="10"/>
    <n v="93"/>
    <n v="5.97"/>
    <n v="68"/>
    <n v="13.91"/>
    <n v="25"/>
    <n v="2.35"/>
    <x v="0"/>
  </r>
  <r>
    <x v="0"/>
    <s v="さいたま市緑区"/>
    <x v="10"/>
    <x v="11"/>
    <n v="158"/>
    <n v="10.130000000000001"/>
    <n v="94"/>
    <n v="19.22"/>
    <n v="64"/>
    <n v="6"/>
    <x v="0"/>
  </r>
  <r>
    <x v="0"/>
    <s v="さいたま市緑区"/>
    <x v="10"/>
    <x v="12"/>
    <n v="76"/>
    <n v="4.87"/>
    <n v="44"/>
    <n v="9"/>
    <n v="28"/>
    <n v="2.63"/>
    <x v="0"/>
  </r>
  <r>
    <x v="0"/>
    <s v="さいたま市緑区"/>
    <x v="10"/>
    <x v="13"/>
    <n v="87"/>
    <n v="5.58"/>
    <n v="48"/>
    <n v="9.82"/>
    <n v="39"/>
    <n v="3.66"/>
    <x v="0"/>
  </r>
  <r>
    <x v="0"/>
    <s v="さいたま市緑区"/>
    <x v="10"/>
    <x v="14"/>
    <n v="47"/>
    <n v="3.01"/>
    <n v="13"/>
    <n v="2.66"/>
    <n v="34"/>
    <n v="3.19"/>
    <x v="0"/>
  </r>
  <r>
    <x v="0"/>
    <s v="さいたま市岩槻区"/>
    <x v="11"/>
    <x v="0"/>
    <n v="0"/>
    <n v="0"/>
    <n v="0"/>
    <n v="0"/>
    <n v="0"/>
    <n v="0"/>
    <x v="0"/>
  </r>
  <r>
    <x v="0"/>
    <s v="さいたま市岩槻区"/>
    <x v="11"/>
    <x v="1"/>
    <n v="419"/>
    <n v="18.489999999999998"/>
    <n v="95"/>
    <n v="10.56"/>
    <n v="324"/>
    <n v="23.88"/>
    <x v="0"/>
  </r>
  <r>
    <x v="0"/>
    <s v="さいたま市岩槻区"/>
    <x v="11"/>
    <x v="2"/>
    <n v="447"/>
    <n v="19.73"/>
    <n v="118"/>
    <n v="13.11"/>
    <n v="329"/>
    <n v="24.24"/>
    <x v="0"/>
  </r>
  <r>
    <x v="0"/>
    <s v="さいたま市岩槻区"/>
    <x v="11"/>
    <x v="3"/>
    <n v="0"/>
    <n v="0"/>
    <n v="0"/>
    <n v="0"/>
    <n v="0"/>
    <n v="0"/>
    <x v="0"/>
  </r>
  <r>
    <x v="0"/>
    <s v="さいたま市岩槻区"/>
    <x v="11"/>
    <x v="4"/>
    <n v="11"/>
    <n v="0.49"/>
    <n v="1"/>
    <n v="0.11"/>
    <n v="10"/>
    <n v="0.74"/>
    <x v="0"/>
  </r>
  <r>
    <x v="0"/>
    <s v="さいたま市岩槻区"/>
    <x v="11"/>
    <x v="5"/>
    <n v="44"/>
    <n v="1.94"/>
    <n v="2"/>
    <n v="0.22"/>
    <n v="42"/>
    <n v="3.1"/>
    <x v="0"/>
  </r>
  <r>
    <x v="0"/>
    <s v="さいたま市岩槻区"/>
    <x v="11"/>
    <x v="6"/>
    <n v="433"/>
    <n v="19.11"/>
    <n v="174"/>
    <n v="19.329999999999998"/>
    <n v="259"/>
    <n v="19.09"/>
    <x v="0"/>
  </r>
  <r>
    <x v="0"/>
    <s v="さいたま市岩槻区"/>
    <x v="11"/>
    <x v="7"/>
    <n v="12"/>
    <n v="0.53"/>
    <n v="2"/>
    <n v="0.22"/>
    <n v="10"/>
    <n v="0.74"/>
    <x v="0"/>
  </r>
  <r>
    <x v="0"/>
    <s v="さいたま市岩槻区"/>
    <x v="11"/>
    <x v="8"/>
    <n v="173"/>
    <n v="7.63"/>
    <n v="34"/>
    <n v="3.78"/>
    <n v="139"/>
    <n v="10.24"/>
    <x v="0"/>
  </r>
  <r>
    <x v="0"/>
    <s v="さいたま市岩槻区"/>
    <x v="11"/>
    <x v="9"/>
    <n v="95"/>
    <n v="4.1900000000000004"/>
    <n v="50"/>
    <n v="5.56"/>
    <n v="45"/>
    <n v="3.32"/>
    <x v="0"/>
  </r>
  <r>
    <x v="0"/>
    <s v="さいたま市岩槻区"/>
    <x v="11"/>
    <x v="10"/>
    <n v="146"/>
    <n v="6.44"/>
    <n v="122"/>
    <n v="13.56"/>
    <n v="24"/>
    <n v="1.77"/>
    <x v="0"/>
  </r>
  <r>
    <x v="0"/>
    <s v="さいたま市岩槻区"/>
    <x v="11"/>
    <x v="11"/>
    <n v="242"/>
    <n v="10.68"/>
    <n v="188"/>
    <n v="20.89"/>
    <n v="54"/>
    <n v="3.98"/>
    <x v="0"/>
  </r>
  <r>
    <x v="0"/>
    <s v="さいたま市岩槻区"/>
    <x v="11"/>
    <x v="12"/>
    <n v="53"/>
    <n v="2.34"/>
    <n v="36"/>
    <n v="4"/>
    <n v="13"/>
    <n v="0.96"/>
    <x v="0"/>
  </r>
  <r>
    <x v="0"/>
    <s v="さいたま市岩槻区"/>
    <x v="11"/>
    <x v="13"/>
    <n v="97"/>
    <n v="4.28"/>
    <n v="52"/>
    <n v="5.78"/>
    <n v="43"/>
    <n v="3.17"/>
    <x v="2"/>
  </r>
  <r>
    <x v="0"/>
    <s v="さいたま市岩槻区"/>
    <x v="11"/>
    <x v="14"/>
    <n v="94"/>
    <n v="4.1500000000000004"/>
    <n v="26"/>
    <n v="2.89"/>
    <n v="65"/>
    <n v="4.79"/>
    <x v="2"/>
  </r>
  <r>
    <x v="0"/>
    <s v="川越市"/>
    <x v="12"/>
    <x v="0"/>
    <n v="0"/>
    <n v="0"/>
    <n v="0"/>
    <n v="0"/>
    <n v="0"/>
    <n v="0"/>
    <x v="0"/>
  </r>
  <r>
    <x v="0"/>
    <s v="川越市"/>
    <x v="12"/>
    <x v="1"/>
    <n v="926"/>
    <n v="15.78"/>
    <n v="184"/>
    <n v="7.69"/>
    <n v="742"/>
    <n v="21.5"/>
    <x v="0"/>
  </r>
  <r>
    <x v="0"/>
    <s v="川越市"/>
    <x v="12"/>
    <x v="2"/>
    <n v="550"/>
    <n v="9.3699999999999992"/>
    <n v="124"/>
    <n v="5.18"/>
    <n v="425"/>
    <n v="12.32"/>
    <x v="12"/>
  </r>
  <r>
    <x v="0"/>
    <s v="川越市"/>
    <x v="12"/>
    <x v="3"/>
    <n v="2"/>
    <n v="0.03"/>
    <n v="0"/>
    <n v="0"/>
    <n v="2"/>
    <n v="0.06"/>
    <x v="0"/>
  </r>
  <r>
    <x v="0"/>
    <s v="川越市"/>
    <x v="12"/>
    <x v="4"/>
    <n v="69"/>
    <n v="1.18"/>
    <n v="4"/>
    <n v="0.17"/>
    <n v="65"/>
    <n v="1.88"/>
    <x v="0"/>
  </r>
  <r>
    <x v="0"/>
    <s v="川越市"/>
    <x v="12"/>
    <x v="5"/>
    <n v="60"/>
    <n v="1.02"/>
    <n v="2"/>
    <n v="0.08"/>
    <n v="58"/>
    <n v="1.68"/>
    <x v="0"/>
  </r>
  <r>
    <x v="0"/>
    <s v="川越市"/>
    <x v="12"/>
    <x v="6"/>
    <n v="1210"/>
    <n v="20.62"/>
    <n v="458"/>
    <n v="19.14"/>
    <n v="751"/>
    <n v="21.76"/>
    <x v="12"/>
  </r>
  <r>
    <x v="0"/>
    <s v="川越市"/>
    <x v="12"/>
    <x v="7"/>
    <n v="37"/>
    <n v="0.63"/>
    <n v="4"/>
    <n v="0.17"/>
    <n v="33"/>
    <n v="0.96"/>
    <x v="0"/>
  </r>
  <r>
    <x v="0"/>
    <s v="川越市"/>
    <x v="12"/>
    <x v="8"/>
    <n v="582"/>
    <n v="9.92"/>
    <n v="91"/>
    <n v="3.8"/>
    <n v="491"/>
    <n v="14.23"/>
    <x v="0"/>
  </r>
  <r>
    <x v="0"/>
    <s v="川越市"/>
    <x v="12"/>
    <x v="9"/>
    <n v="371"/>
    <n v="6.32"/>
    <n v="183"/>
    <n v="7.65"/>
    <n v="186"/>
    <n v="5.39"/>
    <x v="0"/>
  </r>
  <r>
    <x v="0"/>
    <s v="川越市"/>
    <x v="12"/>
    <x v="10"/>
    <n v="568"/>
    <n v="9.68"/>
    <n v="414"/>
    <n v="17.3"/>
    <n v="153"/>
    <n v="4.43"/>
    <x v="0"/>
  </r>
  <r>
    <x v="0"/>
    <s v="川越市"/>
    <x v="12"/>
    <x v="11"/>
    <n v="687"/>
    <n v="11.71"/>
    <n v="494"/>
    <n v="20.64"/>
    <n v="191"/>
    <n v="5.53"/>
    <x v="0"/>
  </r>
  <r>
    <x v="0"/>
    <s v="川越市"/>
    <x v="12"/>
    <x v="12"/>
    <n v="236"/>
    <n v="4.0199999999999996"/>
    <n v="164"/>
    <n v="6.85"/>
    <n v="65"/>
    <n v="1.88"/>
    <x v="12"/>
  </r>
  <r>
    <x v="0"/>
    <s v="川越市"/>
    <x v="12"/>
    <x v="13"/>
    <n v="309"/>
    <n v="5.27"/>
    <n v="199"/>
    <n v="8.32"/>
    <n v="103"/>
    <n v="2.98"/>
    <x v="0"/>
  </r>
  <r>
    <x v="0"/>
    <s v="川越市"/>
    <x v="12"/>
    <x v="14"/>
    <n v="261"/>
    <n v="4.45"/>
    <n v="72"/>
    <n v="3.01"/>
    <n v="186"/>
    <n v="5.39"/>
    <x v="12"/>
  </r>
  <r>
    <x v="0"/>
    <s v="熊谷市"/>
    <x v="13"/>
    <x v="0"/>
    <n v="1"/>
    <n v="0.02"/>
    <n v="0"/>
    <n v="0"/>
    <n v="1"/>
    <n v="0.04"/>
    <x v="0"/>
  </r>
  <r>
    <x v="0"/>
    <s v="熊谷市"/>
    <x v="13"/>
    <x v="1"/>
    <n v="693"/>
    <n v="15.27"/>
    <n v="253"/>
    <n v="11.26"/>
    <n v="440"/>
    <n v="19.59"/>
    <x v="0"/>
  </r>
  <r>
    <x v="0"/>
    <s v="熊谷市"/>
    <x v="13"/>
    <x v="2"/>
    <n v="301"/>
    <n v="6.63"/>
    <n v="68"/>
    <n v="3.03"/>
    <n v="232"/>
    <n v="10.33"/>
    <x v="0"/>
  </r>
  <r>
    <x v="0"/>
    <s v="熊谷市"/>
    <x v="13"/>
    <x v="3"/>
    <n v="6"/>
    <n v="0.13"/>
    <n v="0"/>
    <n v="0"/>
    <n v="6"/>
    <n v="0.27"/>
    <x v="0"/>
  </r>
  <r>
    <x v="0"/>
    <s v="熊谷市"/>
    <x v="13"/>
    <x v="4"/>
    <n v="32"/>
    <n v="0.71"/>
    <n v="1"/>
    <n v="0.04"/>
    <n v="31"/>
    <n v="1.38"/>
    <x v="0"/>
  </r>
  <r>
    <x v="0"/>
    <s v="熊谷市"/>
    <x v="13"/>
    <x v="5"/>
    <n v="42"/>
    <n v="0.93"/>
    <n v="6"/>
    <n v="0.27"/>
    <n v="36"/>
    <n v="1.6"/>
    <x v="0"/>
  </r>
  <r>
    <x v="0"/>
    <s v="熊谷市"/>
    <x v="13"/>
    <x v="6"/>
    <n v="1075"/>
    <n v="23.69"/>
    <n v="431"/>
    <n v="19.190000000000001"/>
    <n v="643"/>
    <n v="28.63"/>
    <x v="12"/>
  </r>
  <r>
    <x v="0"/>
    <s v="熊谷市"/>
    <x v="13"/>
    <x v="7"/>
    <n v="37"/>
    <n v="0.82"/>
    <n v="10"/>
    <n v="0.45"/>
    <n v="27"/>
    <n v="1.2"/>
    <x v="0"/>
  </r>
  <r>
    <x v="0"/>
    <s v="熊谷市"/>
    <x v="13"/>
    <x v="8"/>
    <n v="361"/>
    <n v="7.96"/>
    <n v="96"/>
    <n v="4.2699999999999996"/>
    <n v="265"/>
    <n v="11.8"/>
    <x v="0"/>
  </r>
  <r>
    <x v="0"/>
    <s v="熊谷市"/>
    <x v="13"/>
    <x v="9"/>
    <n v="265"/>
    <n v="5.84"/>
    <n v="142"/>
    <n v="6.32"/>
    <n v="120"/>
    <n v="5.34"/>
    <x v="0"/>
  </r>
  <r>
    <x v="0"/>
    <s v="熊谷市"/>
    <x v="13"/>
    <x v="10"/>
    <n v="527"/>
    <n v="11.62"/>
    <n v="404"/>
    <n v="17.989999999999998"/>
    <n v="122"/>
    <n v="5.43"/>
    <x v="0"/>
  </r>
  <r>
    <x v="0"/>
    <s v="熊谷市"/>
    <x v="13"/>
    <x v="11"/>
    <n v="550"/>
    <n v="12.12"/>
    <n v="448"/>
    <n v="19.95"/>
    <n v="101"/>
    <n v="4.5"/>
    <x v="0"/>
  </r>
  <r>
    <x v="0"/>
    <s v="熊谷市"/>
    <x v="13"/>
    <x v="12"/>
    <n v="210"/>
    <n v="4.63"/>
    <n v="146"/>
    <n v="6.5"/>
    <n v="37"/>
    <n v="1.65"/>
    <x v="0"/>
  </r>
  <r>
    <x v="0"/>
    <s v="熊谷市"/>
    <x v="13"/>
    <x v="13"/>
    <n v="228"/>
    <n v="5.03"/>
    <n v="149"/>
    <n v="6.63"/>
    <n v="73"/>
    <n v="3.25"/>
    <x v="0"/>
  </r>
  <r>
    <x v="0"/>
    <s v="熊谷市"/>
    <x v="13"/>
    <x v="14"/>
    <n v="209"/>
    <n v="4.6100000000000003"/>
    <n v="92"/>
    <n v="4.0999999999999996"/>
    <n v="112"/>
    <n v="4.99"/>
    <x v="0"/>
  </r>
  <r>
    <x v="0"/>
    <s v="川口市"/>
    <x v="14"/>
    <x v="0"/>
    <n v="0"/>
    <n v="0"/>
    <n v="0"/>
    <n v="0"/>
    <n v="0"/>
    <n v="0"/>
    <x v="0"/>
  </r>
  <r>
    <x v="0"/>
    <s v="川口市"/>
    <x v="14"/>
    <x v="1"/>
    <n v="1900"/>
    <n v="16.02"/>
    <n v="222"/>
    <n v="5.22"/>
    <n v="1678"/>
    <n v="22.18"/>
    <x v="0"/>
  </r>
  <r>
    <x v="0"/>
    <s v="川口市"/>
    <x v="14"/>
    <x v="2"/>
    <n v="2522"/>
    <n v="21.26"/>
    <n v="583"/>
    <n v="13.7"/>
    <n v="1938"/>
    <n v="25.62"/>
    <x v="12"/>
  </r>
  <r>
    <x v="0"/>
    <s v="川口市"/>
    <x v="14"/>
    <x v="3"/>
    <n v="3"/>
    <n v="0.03"/>
    <n v="0"/>
    <n v="0"/>
    <n v="3"/>
    <n v="0.04"/>
    <x v="0"/>
  </r>
  <r>
    <x v="0"/>
    <s v="川口市"/>
    <x v="14"/>
    <x v="4"/>
    <n v="103"/>
    <n v="0.87"/>
    <n v="4"/>
    <n v="0.09"/>
    <n v="99"/>
    <n v="1.31"/>
    <x v="0"/>
  </r>
  <r>
    <x v="0"/>
    <s v="川口市"/>
    <x v="14"/>
    <x v="5"/>
    <n v="145"/>
    <n v="1.22"/>
    <n v="14"/>
    <n v="0.33"/>
    <n v="131"/>
    <n v="1.73"/>
    <x v="0"/>
  </r>
  <r>
    <x v="0"/>
    <s v="川口市"/>
    <x v="14"/>
    <x v="6"/>
    <n v="2017"/>
    <n v="17"/>
    <n v="730"/>
    <n v="17.149999999999999"/>
    <n v="1287"/>
    <n v="17.010000000000002"/>
    <x v="0"/>
  </r>
  <r>
    <x v="0"/>
    <s v="川口市"/>
    <x v="14"/>
    <x v="7"/>
    <n v="58"/>
    <n v="0.49"/>
    <n v="5"/>
    <n v="0.12"/>
    <n v="53"/>
    <n v="0.7"/>
    <x v="0"/>
  </r>
  <r>
    <x v="0"/>
    <s v="川口市"/>
    <x v="14"/>
    <x v="8"/>
    <n v="1387"/>
    <n v="11.69"/>
    <n v="310"/>
    <n v="7.28"/>
    <n v="1076"/>
    <n v="14.23"/>
    <x v="12"/>
  </r>
  <r>
    <x v="0"/>
    <s v="川口市"/>
    <x v="14"/>
    <x v="9"/>
    <n v="469"/>
    <n v="3.95"/>
    <n v="187"/>
    <n v="4.3899999999999997"/>
    <n v="282"/>
    <n v="3.73"/>
    <x v="0"/>
  </r>
  <r>
    <x v="0"/>
    <s v="川口市"/>
    <x v="14"/>
    <x v="10"/>
    <n v="920"/>
    <n v="7.76"/>
    <n v="730"/>
    <n v="17.149999999999999"/>
    <n v="190"/>
    <n v="2.5099999999999998"/>
    <x v="0"/>
  </r>
  <r>
    <x v="0"/>
    <s v="川口市"/>
    <x v="14"/>
    <x v="11"/>
    <n v="1141"/>
    <n v="9.6199999999999992"/>
    <n v="831"/>
    <n v="19.53"/>
    <n v="310"/>
    <n v="4.0999999999999996"/>
    <x v="0"/>
  </r>
  <r>
    <x v="0"/>
    <s v="川口市"/>
    <x v="14"/>
    <x v="12"/>
    <n v="355"/>
    <n v="2.99"/>
    <n v="221"/>
    <n v="5.19"/>
    <n v="98"/>
    <n v="1.3"/>
    <x v="12"/>
  </r>
  <r>
    <x v="0"/>
    <s v="川口市"/>
    <x v="14"/>
    <x v="13"/>
    <n v="499"/>
    <n v="4.21"/>
    <n v="334"/>
    <n v="7.85"/>
    <n v="165"/>
    <n v="2.1800000000000002"/>
    <x v="0"/>
  </r>
  <r>
    <x v="0"/>
    <s v="川口市"/>
    <x v="14"/>
    <x v="14"/>
    <n v="343"/>
    <n v="2.89"/>
    <n v="85"/>
    <n v="2"/>
    <n v="254"/>
    <n v="3.36"/>
    <x v="12"/>
  </r>
  <r>
    <x v="0"/>
    <s v="行田市"/>
    <x v="15"/>
    <x v="0"/>
    <n v="0"/>
    <n v="0"/>
    <n v="0"/>
    <n v="0"/>
    <n v="0"/>
    <n v="0"/>
    <x v="0"/>
  </r>
  <r>
    <x v="0"/>
    <s v="行田市"/>
    <x v="15"/>
    <x v="1"/>
    <n v="262"/>
    <n v="14.54"/>
    <n v="120"/>
    <n v="12.18"/>
    <n v="142"/>
    <n v="17.86"/>
    <x v="0"/>
  </r>
  <r>
    <x v="0"/>
    <s v="行田市"/>
    <x v="15"/>
    <x v="2"/>
    <n v="240"/>
    <n v="13.32"/>
    <n v="110"/>
    <n v="11.17"/>
    <n v="130"/>
    <n v="16.350000000000001"/>
    <x v="0"/>
  </r>
  <r>
    <x v="0"/>
    <s v="行田市"/>
    <x v="15"/>
    <x v="3"/>
    <n v="1"/>
    <n v="0.06"/>
    <n v="0"/>
    <n v="0"/>
    <n v="1"/>
    <n v="0.13"/>
    <x v="0"/>
  </r>
  <r>
    <x v="0"/>
    <s v="行田市"/>
    <x v="15"/>
    <x v="4"/>
    <n v="15"/>
    <n v="0.83"/>
    <n v="1"/>
    <n v="0.1"/>
    <n v="14"/>
    <n v="1.76"/>
    <x v="0"/>
  </r>
  <r>
    <x v="0"/>
    <s v="行田市"/>
    <x v="15"/>
    <x v="5"/>
    <n v="20"/>
    <n v="1.1100000000000001"/>
    <n v="1"/>
    <n v="0.1"/>
    <n v="19"/>
    <n v="2.39"/>
    <x v="0"/>
  </r>
  <r>
    <x v="0"/>
    <s v="行田市"/>
    <x v="15"/>
    <x v="6"/>
    <n v="424"/>
    <n v="23.53"/>
    <n v="195"/>
    <n v="19.8"/>
    <n v="229"/>
    <n v="28.81"/>
    <x v="0"/>
  </r>
  <r>
    <x v="0"/>
    <s v="行田市"/>
    <x v="15"/>
    <x v="7"/>
    <n v="4"/>
    <n v="0.22"/>
    <n v="0"/>
    <n v="0"/>
    <n v="3"/>
    <n v="0.38"/>
    <x v="0"/>
  </r>
  <r>
    <x v="0"/>
    <s v="行田市"/>
    <x v="15"/>
    <x v="8"/>
    <n v="115"/>
    <n v="6.38"/>
    <n v="29"/>
    <n v="2.94"/>
    <n v="86"/>
    <n v="10.82"/>
    <x v="0"/>
  </r>
  <r>
    <x v="0"/>
    <s v="行田市"/>
    <x v="15"/>
    <x v="9"/>
    <n v="72"/>
    <n v="4"/>
    <n v="41"/>
    <n v="4.16"/>
    <n v="31"/>
    <n v="3.9"/>
    <x v="0"/>
  </r>
  <r>
    <x v="0"/>
    <s v="行田市"/>
    <x v="15"/>
    <x v="10"/>
    <n v="181"/>
    <n v="10.039999999999999"/>
    <n v="151"/>
    <n v="15.33"/>
    <n v="29"/>
    <n v="3.65"/>
    <x v="0"/>
  </r>
  <r>
    <x v="0"/>
    <s v="行田市"/>
    <x v="15"/>
    <x v="11"/>
    <n v="232"/>
    <n v="12.87"/>
    <n v="193"/>
    <n v="19.59"/>
    <n v="39"/>
    <n v="4.91"/>
    <x v="0"/>
  </r>
  <r>
    <x v="0"/>
    <s v="行田市"/>
    <x v="15"/>
    <x v="12"/>
    <n v="69"/>
    <n v="3.83"/>
    <n v="48"/>
    <n v="4.87"/>
    <n v="9"/>
    <n v="1.1299999999999999"/>
    <x v="0"/>
  </r>
  <r>
    <x v="0"/>
    <s v="行田市"/>
    <x v="15"/>
    <x v="13"/>
    <n v="87"/>
    <n v="4.83"/>
    <n v="52"/>
    <n v="5.28"/>
    <n v="33"/>
    <n v="4.1500000000000004"/>
    <x v="0"/>
  </r>
  <r>
    <x v="0"/>
    <s v="行田市"/>
    <x v="15"/>
    <x v="14"/>
    <n v="80"/>
    <n v="4.4400000000000004"/>
    <n v="44"/>
    <n v="4.47"/>
    <n v="30"/>
    <n v="3.77"/>
    <x v="12"/>
  </r>
  <r>
    <x v="0"/>
    <s v="秩父市"/>
    <x v="16"/>
    <x v="0"/>
    <n v="3"/>
    <n v="0.15"/>
    <n v="0"/>
    <n v="0"/>
    <n v="3"/>
    <n v="0.39"/>
    <x v="0"/>
  </r>
  <r>
    <x v="0"/>
    <s v="秩父市"/>
    <x v="16"/>
    <x v="1"/>
    <n v="296"/>
    <n v="14.82"/>
    <n v="152"/>
    <n v="12.67"/>
    <n v="144"/>
    <n v="18.75"/>
    <x v="0"/>
  </r>
  <r>
    <x v="0"/>
    <s v="秩父市"/>
    <x v="16"/>
    <x v="2"/>
    <n v="174"/>
    <n v="8.7100000000000009"/>
    <n v="77"/>
    <n v="6.42"/>
    <n v="97"/>
    <n v="12.63"/>
    <x v="0"/>
  </r>
  <r>
    <x v="0"/>
    <s v="秩父市"/>
    <x v="16"/>
    <x v="3"/>
    <n v="2"/>
    <n v="0.1"/>
    <n v="0"/>
    <n v="0"/>
    <n v="1"/>
    <n v="0.13"/>
    <x v="0"/>
  </r>
  <r>
    <x v="0"/>
    <s v="秩父市"/>
    <x v="16"/>
    <x v="4"/>
    <n v="17"/>
    <n v="0.85"/>
    <n v="3"/>
    <n v="0.25"/>
    <n v="14"/>
    <n v="1.82"/>
    <x v="0"/>
  </r>
  <r>
    <x v="0"/>
    <s v="秩父市"/>
    <x v="16"/>
    <x v="5"/>
    <n v="20"/>
    <n v="1"/>
    <n v="5"/>
    <n v="0.42"/>
    <n v="15"/>
    <n v="1.95"/>
    <x v="0"/>
  </r>
  <r>
    <x v="0"/>
    <s v="秩父市"/>
    <x v="16"/>
    <x v="6"/>
    <n v="423"/>
    <n v="21.18"/>
    <n v="231"/>
    <n v="19.25"/>
    <n v="192"/>
    <n v="25"/>
    <x v="0"/>
  </r>
  <r>
    <x v="0"/>
    <s v="秩父市"/>
    <x v="16"/>
    <x v="7"/>
    <n v="10"/>
    <n v="0.5"/>
    <n v="1"/>
    <n v="0.08"/>
    <n v="9"/>
    <n v="1.17"/>
    <x v="0"/>
  </r>
  <r>
    <x v="0"/>
    <s v="秩父市"/>
    <x v="16"/>
    <x v="8"/>
    <n v="154"/>
    <n v="7.71"/>
    <n v="67"/>
    <n v="5.58"/>
    <n v="86"/>
    <n v="11.2"/>
    <x v="12"/>
  </r>
  <r>
    <x v="0"/>
    <s v="秩父市"/>
    <x v="16"/>
    <x v="9"/>
    <n v="83"/>
    <n v="4.16"/>
    <n v="47"/>
    <n v="3.92"/>
    <n v="35"/>
    <n v="4.5599999999999996"/>
    <x v="12"/>
  </r>
  <r>
    <x v="0"/>
    <s v="秩父市"/>
    <x v="16"/>
    <x v="10"/>
    <n v="319"/>
    <n v="15.97"/>
    <n v="258"/>
    <n v="21.5"/>
    <n v="57"/>
    <n v="7.42"/>
    <x v="12"/>
  </r>
  <r>
    <x v="0"/>
    <s v="秩父市"/>
    <x v="16"/>
    <x v="11"/>
    <n v="256"/>
    <n v="12.82"/>
    <n v="219"/>
    <n v="18.25"/>
    <n v="35"/>
    <n v="4.5599999999999996"/>
    <x v="0"/>
  </r>
  <r>
    <x v="0"/>
    <s v="秩父市"/>
    <x v="16"/>
    <x v="12"/>
    <n v="68"/>
    <n v="3.41"/>
    <n v="43"/>
    <n v="3.58"/>
    <n v="12"/>
    <n v="1.56"/>
    <x v="12"/>
  </r>
  <r>
    <x v="0"/>
    <s v="秩父市"/>
    <x v="16"/>
    <x v="13"/>
    <n v="105"/>
    <n v="5.26"/>
    <n v="58"/>
    <n v="4.83"/>
    <n v="41"/>
    <n v="5.34"/>
    <x v="0"/>
  </r>
  <r>
    <x v="0"/>
    <s v="秩父市"/>
    <x v="16"/>
    <x v="14"/>
    <n v="67"/>
    <n v="3.36"/>
    <n v="39"/>
    <n v="3.25"/>
    <n v="27"/>
    <n v="3.52"/>
    <x v="0"/>
  </r>
  <r>
    <x v="0"/>
    <s v="所沢市"/>
    <x v="17"/>
    <x v="0"/>
    <n v="0"/>
    <n v="0"/>
    <n v="0"/>
    <n v="0"/>
    <n v="0"/>
    <n v="0"/>
    <x v="0"/>
  </r>
  <r>
    <x v="0"/>
    <s v="所沢市"/>
    <x v="17"/>
    <x v="1"/>
    <n v="903"/>
    <n v="17.04"/>
    <n v="125"/>
    <n v="6.28"/>
    <n v="778"/>
    <n v="23.61"/>
    <x v="0"/>
  </r>
  <r>
    <x v="0"/>
    <s v="所沢市"/>
    <x v="17"/>
    <x v="2"/>
    <n v="425"/>
    <n v="8.02"/>
    <n v="91"/>
    <n v="4.57"/>
    <n v="334"/>
    <n v="10.14"/>
    <x v="0"/>
  </r>
  <r>
    <x v="0"/>
    <s v="所沢市"/>
    <x v="17"/>
    <x v="3"/>
    <n v="3"/>
    <n v="0.06"/>
    <n v="0"/>
    <n v="0"/>
    <n v="3"/>
    <n v="0.09"/>
    <x v="0"/>
  </r>
  <r>
    <x v="0"/>
    <s v="所沢市"/>
    <x v="17"/>
    <x v="4"/>
    <n v="98"/>
    <n v="1.85"/>
    <n v="3"/>
    <n v="0.15"/>
    <n v="95"/>
    <n v="2.88"/>
    <x v="0"/>
  </r>
  <r>
    <x v="0"/>
    <s v="所沢市"/>
    <x v="17"/>
    <x v="5"/>
    <n v="47"/>
    <n v="0.89"/>
    <n v="2"/>
    <n v="0.1"/>
    <n v="45"/>
    <n v="1.37"/>
    <x v="0"/>
  </r>
  <r>
    <x v="0"/>
    <s v="所沢市"/>
    <x v="17"/>
    <x v="6"/>
    <n v="1033"/>
    <n v="19.5"/>
    <n v="356"/>
    <n v="17.88"/>
    <n v="675"/>
    <n v="20.49"/>
    <x v="2"/>
  </r>
  <r>
    <x v="0"/>
    <s v="所沢市"/>
    <x v="17"/>
    <x v="7"/>
    <n v="32"/>
    <n v="0.6"/>
    <n v="4"/>
    <n v="0.2"/>
    <n v="28"/>
    <n v="0.85"/>
    <x v="0"/>
  </r>
  <r>
    <x v="0"/>
    <s v="所沢市"/>
    <x v="17"/>
    <x v="8"/>
    <n v="628"/>
    <n v="11.85"/>
    <n v="111"/>
    <n v="5.58"/>
    <n v="515"/>
    <n v="15.63"/>
    <x v="0"/>
  </r>
  <r>
    <x v="0"/>
    <s v="所沢市"/>
    <x v="17"/>
    <x v="9"/>
    <n v="355"/>
    <n v="6.7"/>
    <n v="139"/>
    <n v="6.98"/>
    <n v="215"/>
    <n v="6.53"/>
    <x v="0"/>
  </r>
  <r>
    <x v="0"/>
    <s v="所沢市"/>
    <x v="17"/>
    <x v="10"/>
    <n v="455"/>
    <n v="8.59"/>
    <n v="328"/>
    <n v="16.47"/>
    <n v="126"/>
    <n v="3.82"/>
    <x v="12"/>
  </r>
  <r>
    <x v="0"/>
    <s v="所沢市"/>
    <x v="17"/>
    <x v="11"/>
    <n v="640"/>
    <n v="12.08"/>
    <n v="442"/>
    <n v="22.2"/>
    <n v="198"/>
    <n v="6.01"/>
    <x v="0"/>
  </r>
  <r>
    <x v="0"/>
    <s v="所沢市"/>
    <x v="17"/>
    <x v="12"/>
    <n v="221"/>
    <n v="4.17"/>
    <n v="146"/>
    <n v="7.33"/>
    <n v="74"/>
    <n v="2.25"/>
    <x v="12"/>
  </r>
  <r>
    <x v="0"/>
    <s v="所沢市"/>
    <x v="17"/>
    <x v="13"/>
    <n v="295"/>
    <n v="5.57"/>
    <n v="204"/>
    <n v="10.25"/>
    <n v="91"/>
    <n v="2.76"/>
    <x v="0"/>
  </r>
  <r>
    <x v="0"/>
    <s v="所沢市"/>
    <x v="17"/>
    <x v="14"/>
    <n v="163"/>
    <n v="3.08"/>
    <n v="40"/>
    <n v="2.0099999999999998"/>
    <n v="118"/>
    <n v="3.58"/>
    <x v="2"/>
  </r>
  <r>
    <x v="0"/>
    <s v="飯能市"/>
    <x v="18"/>
    <x v="0"/>
    <n v="0"/>
    <n v="0"/>
    <n v="0"/>
    <n v="0"/>
    <n v="0"/>
    <n v="0"/>
    <x v="0"/>
  </r>
  <r>
    <x v="0"/>
    <s v="飯能市"/>
    <x v="18"/>
    <x v="1"/>
    <n v="277"/>
    <n v="15.86"/>
    <n v="117"/>
    <n v="12.06"/>
    <n v="160"/>
    <n v="21.14"/>
    <x v="0"/>
  </r>
  <r>
    <x v="0"/>
    <s v="飯能市"/>
    <x v="18"/>
    <x v="2"/>
    <n v="187"/>
    <n v="10.7"/>
    <n v="75"/>
    <n v="7.73"/>
    <n v="112"/>
    <n v="14.8"/>
    <x v="0"/>
  </r>
  <r>
    <x v="0"/>
    <s v="飯能市"/>
    <x v="18"/>
    <x v="3"/>
    <n v="2"/>
    <n v="0.11"/>
    <n v="0"/>
    <n v="0"/>
    <n v="1"/>
    <n v="0.13"/>
    <x v="0"/>
  </r>
  <r>
    <x v="0"/>
    <s v="飯能市"/>
    <x v="18"/>
    <x v="4"/>
    <n v="15"/>
    <n v="0.86"/>
    <n v="0"/>
    <n v="0"/>
    <n v="15"/>
    <n v="1.98"/>
    <x v="0"/>
  </r>
  <r>
    <x v="0"/>
    <s v="飯能市"/>
    <x v="18"/>
    <x v="5"/>
    <n v="15"/>
    <n v="0.86"/>
    <n v="2"/>
    <n v="0.21"/>
    <n v="13"/>
    <n v="1.72"/>
    <x v="0"/>
  </r>
  <r>
    <x v="0"/>
    <s v="飯能市"/>
    <x v="18"/>
    <x v="6"/>
    <n v="354"/>
    <n v="20.260000000000002"/>
    <n v="199"/>
    <n v="20.52"/>
    <n v="155"/>
    <n v="20.48"/>
    <x v="0"/>
  </r>
  <r>
    <x v="0"/>
    <s v="飯能市"/>
    <x v="18"/>
    <x v="7"/>
    <n v="4"/>
    <n v="0.23"/>
    <n v="1"/>
    <n v="0.1"/>
    <n v="3"/>
    <n v="0.4"/>
    <x v="0"/>
  </r>
  <r>
    <x v="0"/>
    <s v="飯能市"/>
    <x v="18"/>
    <x v="8"/>
    <n v="144"/>
    <n v="8.24"/>
    <n v="63"/>
    <n v="6.49"/>
    <n v="81"/>
    <n v="10.7"/>
    <x v="0"/>
  </r>
  <r>
    <x v="0"/>
    <s v="飯能市"/>
    <x v="18"/>
    <x v="9"/>
    <n v="84"/>
    <n v="4.8099999999999996"/>
    <n v="41"/>
    <n v="4.2300000000000004"/>
    <n v="43"/>
    <n v="5.68"/>
    <x v="0"/>
  </r>
  <r>
    <x v="0"/>
    <s v="飯能市"/>
    <x v="18"/>
    <x v="10"/>
    <n v="216"/>
    <n v="12.36"/>
    <n v="175"/>
    <n v="18.04"/>
    <n v="41"/>
    <n v="5.42"/>
    <x v="0"/>
  </r>
  <r>
    <x v="0"/>
    <s v="飯能市"/>
    <x v="18"/>
    <x v="11"/>
    <n v="195"/>
    <n v="11.16"/>
    <n v="155"/>
    <n v="15.98"/>
    <n v="39"/>
    <n v="5.15"/>
    <x v="0"/>
  </r>
  <r>
    <x v="0"/>
    <s v="飯能市"/>
    <x v="18"/>
    <x v="12"/>
    <n v="82"/>
    <n v="4.6900000000000004"/>
    <n v="56"/>
    <n v="5.77"/>
    <n v="13"/>
    <n v="1.72"/>
    <x v="12"/>
  </r>
  <r>
    <x v="0"/>
    <s v="飯能市"/>
    <x v="18"/>
    <x v="13"/>
    <n v="109"/>
    <n v="6.24"/>
    <n v="55"/>
    <n v="5.67"/>
    <n v="51"/>
    <n v="6.74"/>
    <x v="12"/>
  </r>
  <r>
    <x v="0"/>
    <s v="飯能市"/>
    <x v="18"/>
    <x v="14"/>
    <n v="63"/>
    <n v="3.61"/>
    <n v="31"/>
    <n v="3.2"/>
    <n v="30"/>
    <n v="3.96"/>
    <x v="12"/>
  </r>
  <r>
    <x v="0"/>
    <s v="加須市"/>
    <x v="19"/>
    <x v="0"/>
    <n v="0"/>
    <n v="0"/>
    <n v="0"/>
    <n v="0"/>
    <n v="0"/>
    <n v="0"/>
    <x v="0"/>
  </r>
  <r>
    <x v="0"/>
    <s v="加須市"/>
    <x v="19"/>
    <x v="1"/>
    <n v="401"/>
    <n v="18.489999999999998"/>
    <n v="164"/>
    <n v="14.25"/>
    <n v="237"/>
    <n v="23.84"/>
    <x v="0"/>
  </r>
  <r>
    <x v="0"/>
    <s v="加須市"/>
    <x v="19"/>
    <x v="2"/>
    <n v="256"/>
    <n v="11.8"/>
    <n v="71"/>
    <n v="6.17"/>
    <n v="185"/>
    <n v="18.61"/>
    <x v="0"/>
  </r>
  <r>
    <x v="0"/>
    <s v="加須市"/>
    <x v="19"/>
    <x v="3"/>
    <n v="1"/>
    <n v="0.05"/>
    <n v="0"/>
    <n v="0"/>
    <n v="1"/>
    <n v="0.1"/>
    <x v="0"/>
  </r>
  <r>
    <x v="0"/>
    <s v="加須市"/>
    <x v="19"/>
    <x v="4"/>
    <n v="6"/>
    <n v="0.28000000000000003"/>
    <n v="0"/>
    <n v="0"/>
    <n v="6"/>
    <n v="0.6"/>
    <x v="0"/>
  </r>
  <r>
    <x v="0"/>
    <s v="加須市"/>
    <x v="19"/>
    <x v="5"/>
    <n v="37"/>
    <n v="1.71"/>
    <n v="1"/>
    <n v="0.09"/>
    <n v="36"/>
    <n v="3.62"/>
    <x v="0"/>
  </r>
  <r>
    <x v="0"/>
    <s v="加須市"/>
    <x v="19"/>
    <x v="6"/>
    <n v="496"/>
    <n v="22.87"/>
    <n v="252"/>
    <n v="21.89"/>
    <n v="244"/>
    <n v="24.55"/>
    <x v="0"/>
  </r>
  <r>
    <x v="0"/>
    <s v="加須市"/>
    <x v="19"/>
    <x v="7"/>
    <n v="11"/>
    <n v="0.51"/>
    <n v="3"/>
    <n v="0.26"/>
    <n v="8"/>
    <n v="0.8"/>
    <x v="0"/>
  </r>
  <r>
    <x v="0"/>
    <s v="加須市"/>
    <x v="19"/>
    <x v="8"/>
    <n v="135"/>
    <n v="6.22"/>
    <n v="59"/>
    <n v="5.13"/>
    <n v="76"/>
    <n v="7.65"/>
    <x v="0"/>
  </r>
  <r>
    <x v="0"/>
    <s v="加須市"/>
    <x v="19"/>
    <x v="9"/>
    <n v="80"/>
    <n v="3.69"/>
    <n v="41"/>
    <n v="3.56"/>
    <n v="37"/>
    <n v="3.72"/>
    <x v="0"/>
  </r>
  <r>
    <x v="0"/>
    <s v="加須市"/>
    <x v="19"/>
    <x v="10"/>
    <n v="190"/>
    <n v="8.76"/>
    <n v="154"/>
    <n v="13.38"/>
    <n v="36"/>
    <n v="3.62"/>
    <x v="0"/>
  </r>
  <r>
    <x v="0"/>
    <s v="加須市"/>
    <x v="19"/>
    <x v="11"/>
    <n v="293"/>
    <n v="13.51"/>
    <n v="245"/>
    <n v="21.29"/>
    <n v="45"/>
    <n v="4.53"/>
    <x v="0"/>
  </r>
  <r>
    <x v="0"/>
    <s v="加須市"/>
    <x v="19"/>
    <x v="12"/>
    <n v="85"/>
    <n v="3.92"/>
    <n v="59"/>
    <n v="5.13"/>
    <n v="17"/>
    <n v="1.71"/>
    <x v="0"/>
  </r>
  <r>
    <x v="0"/>
    <s v="加須市"/>
    <x v="19"/>
    <x v="13"/>
    <n v="86"/>
    <n v="3.96"/>
    <n v="58"/>
    <n v="5.04"/>
    <n v="23"/>
    <n v="2.31"/>
    <x v="0"/>
  </r>
  <r>
    <x v="0"/>
    <s v="加須市"/>
    <x v="19"/>
    <x v="14"/>
    <n v="92"/>
    <n v="4.24"/>
    <n v="44"/>
    <n v="3.82"/>
    <n v="43"/>
    <n v="4.33"/>
    <x v="0"/>
  </r>
  <r>
    <x v="0"/>
    <s v="本庄市"/>
    <x v="20"/>
    <x v="0"/>
    <n v="2"/>
    <n v="0.11"/>
    <n v="0"/>
    <n v="0"/>
    <n v="2"/>
    <n v="0.25"/>
    <x v="0"/>
  </r>
  <r>
    <x v="0"/>
    <s v="本庄市"/>
    <x v="20"/>
    <x v="1"/>
    <n v="240"/>
    <n v="12.7"/>
    <n v="87"/>
    <n v="8.06"/>
    <n v="153"/>
    <n v="19.32"/>
    <x v="0"/>
  </r>
  <r>
    <x v="0"/>
    <s v="本庄市"/>
    <x v="20"/>
    <x v="2"/>
    <n v="155"/>
    <n v="8.1999999999999993"/>
    <n v="63"/>
    <n v="5.83"/>
    <n v="92"/>
    <n v="11.62"/>
    <x v="0"/>
  </r>
  <r>
    <x v="0"/>
    <s v="本庄市"/>
    <x v="20"/>
    <x v="3"/>
    <n v="6"/>
    <n v="0.32"/>
    <n v="0"/>
    <n v="0"/>
    <n v="6"/>
    <n v="0.76"/>
    <x v="0"/>
  </r>
  <r>
    <x v="0"/>
    <s v="本庄市"/>
    <x v="20"/>
    <x v="4"/>
    <n v="5"/>
    <n v="0.26"/>
    <n v="0"/>
    <n v="0"/>
    <n v="5"/>
    <n v="0.63"/>
    <x v="0"/>
  </r>
  <r>
    <x v="0"/>
    <s v="本庄市"/>
    <x v="20"/>
    <x v="5"/>
    <n v="10"/>
    <n v="0.53"/>
    <n v="1"/>
    <n v="0.09"/>
    <n v="9"/>
    <n v="1.1399999999999999"/>
    <x v="0"/>
  </r>
  <r>
    <x v="0"/>
    <s v="本庄市"/>
    <x v="20"/>
    <x v="6"/>
    <n v="425"/>
    <n v="22.49"/>
    <n v="227"/>
    <n v="21.02"/>
    <n v="198"/>
    <n v="25"/>
    <x v="0"/>
  </r>
  <r>
    <x v="0"/>
    <s v="本庄市"/>
    <x v="20"/>
    <x v="7"/>
    <n v="11"/>
    <n v="0.57999999999999996"/>
    <n v="1"/>
    <n v="0.09"/>
    <n v="10"/>
    <n v="1.26"/>
    <x v="0"/>
  </r>
  <r>
    <x v="0"/>
    <s v="本庄市"/>
    <x v="20"/>
    <x v="8"/>
    <n v="179"/>
    <n v="9.4700000000000006"/>
    <n v="75"/>
    <n v="6.94"/>
    <n v="104"/>
    <n v="13.13"/>
    <x v="0"/>
  </r>
  <r>
    <x v="0"/>
    <s v="本庄市"/>
    <x v="20"/>
    <x v="9"/>
    <n v="101"/>
    <n v="5.34"/>
    <n v="61"/>
    <n v="5.65"/>
    <n v="40"/>
    <n v="5.05"/>
    <x v="0"/>
  </r>
  <r>
    <x v="0"/>
    <s v="本庄市"/>
    <x v="20"/>
    <x v="10"/>
    <n v="242"/>
    <n v="12.8"/>
    <n v="202"/>
    <n v="18.7"/>
    <n v="39"/>
    <n v="4.92"/>
    <x v="12"/>
  </r>
  <r>
    <x v="0"/>
    <s v="本庄市"/>
    <x v="20"/>
    <x v="11"/>
    <n v="258"/>
    <n v="13.65"/>
    <n v="205"/>
    <n v="18.98"/>
    <n v="53"/>
    <n v="6.69"/>
    <x v="0"/>
  </r>
  <r>
    <x v="0"/>
    <s v="本庄市"/>
    <x v="20"/>
    <x v="12"/>
    <n v="83"/>
    <n v="4.3899999999999997"/>
    <n v="52"/>
    <n v="4.8099999999999996"/>
    <n v="18"/>
    <n v="2.27"/>
    <x v="0"/>
  </r>
  <r>
    <x v="0"/>
    <s v="本庄市"/>
    <x v="20"/>
    <x v="13"/>
    <n v="109"/>
    <n v="5.77"/>
    <n v="67"/>
    <n v="6.2"/>
    <n v="41"/>
    <n v="5.18"/>
    <x v="0"/>
  </r>
  <r>
    <x v="0"/>
    <s v="本庄市"/>
    <x v="20"/>
    <x v="14"/>
    <n v="64"/>
    <n v="3.39"/>
    <n v="39"/>
    <n v="3.61"/>
    <n v="22"/>
    <n v="2.78"/>
    <x v="0"/>
  </r>
  <r>
    <x v="0"/>
    <s v="東松山市"/>
    <x v="21"/>
    <x v="0"/>
    <n v="0"/>
    <n v="0"/>
    <n v="0"/>
    <n v="0"/>
    <n v="0"/>
    <n v="0"/>
    <x v="0"/>
  </r>
  <r>
    <x v="0"/>
    <s v="東松山市"/>
    <x v="21"/>
    <x v="1"/>
    <n v="295"/>
    <n v="15.53"/>
    <n v="88"/>
    <n v="9.25"/>
    <n v="207"/>
    <n v="21.93"/>
    <x v="0"/>
  </r>
  <r>
    <x v="0"/>
    <s v="東松山市"/>
    <x v="21"/>
    <x v="2"/>
    <n v="148"/>
    <n v="7.79"/>
    <n v="45"/>
    <n v="4.7300000000000004"/>
    <n v="103"/>
    <n v="10.91"/>
    <x v="0"/>
  </r>
  <r>
    <x v="0"/>
    <s v="東松山市"/>
    <x v="21"/>
    <x v="3"/>
    <n v="5"/>
    <n v="0.26"/>
    <n v="0"/>
    <n v="0"/>
    <n v="5"/>
    <n v="0.53"/>
    <x v="0"/>
  </r>
  <r>
    <x v="0"/>
    <s v="東松山市"/>
    <x v="21"/>
    <x v="4"/>
    <n v="12"/>
    <n v="0.63"/>
    <n v="1"/>
    <n v="0.11"/>
    <n v="11"/>
    <n v="1.17"/>
    <x v="0"/>
  </r>
  <r>
    <x v="0"/>
    <s v="東松山市"/>
    <x v="21"/>
    <x v="5"/>
    <n v="27"/>
    <n v="1.42"/>
    <n v="4"/>
    <n v="0.42"/>
    <n v="23"/>
    <n v="2.44"/>
    <x v="0"/>
  </r>
  <r>
    <x v="0"/>
    <s v="東松山市"/>
    <x v="21"/>
    <x v="6"/>
    <n v="411"/>
    <n v="21.63"/>
    <n v="174"/>
    <n v="18.3"/>
    <n v="237"/>
    <n v="25.11"/>
    <x v="0"/>
  </r>
  <r>
    <x v="0"/>
    <s v="東松山市"/>
    <x v="21"/>
    <x v="7"/>
    <n v="4"/>
    <n v="0.21"/>
    <n v="1"/>
    <n v="0.11"/>
    <n v="3"/>
    <n v="0.32"/>
    <x v="0"/>
  </r>
  <r>
    <x v="0"/>
    <s v="東松山市"/>
    <x v="21"/>
    <x v="8"/>
    <n v="129"/>
    <n v="6.79"/>
    <n v="32"/>
    <n v="3.36"/>
    <n v="97"/>
    <n v="10.28"/>
    <x v="0"/>
  </r>
  <r>
    <x v="0"/>
    <s v="東松山市"/>
    <x v="21"/>
    <x v="9"/>
    <n v="106"/>
    <n v="5.58"/>
    <n v="48"/>
    <n v="5.05"/>
    <n v="57"/>
    <n v="6.04"/>
    <x v="0"/>
  </r>
  <r>
    <x v="0"/>
    <s v="東松山市"/>
    <x v="21"/>
    <x v="10"/>
    <n v="235"/>
    <n v="12.37"/>
    <n v="196"/>
    <n v="20.61"/>
    <n v="39"/>
    <n v="4.13"/>
    <x v="0"/>
  </r>
  <r>
    <x v="0"/>
    <s v="東松山市"/>
    <x v="21"/>
    <x v="11"/>
    <n v="259"/>
    <n v="13.63"/>
    <n v="197"/>
    <n v="20.72"/>
    <n v="62"/>
    <n v="6.57"/>
    <x v="0"/>
  </r>
  <r>
    <x v="0"/>
    <s v="東松山市"/>
    <x v="21"/>
    <x v="12"/>
    <n v="83"/>
    <n v="4.37"/>
    <n v="61"/>
    <n v="6.41"/>
    <n v="18"/>
    <n v="1.91"/>
    <x v="0"/>
  </r>
  <r>
    <x v="0"/>
    <s v="東松山市"/>
    <x v="21"/>
    <x v="13"/>
    <n v="118"/>
    <n v="6.21"/>
    <n v="73"/>
    <n v="7.68"/>
    <n v="45"/>
    <n v="4.7699999999999996"/>
    <x v="0"/>
  </r>
  <r>
    <x v="0"/>
    <s v="東松山市"/>
    <x v="21"/>
    <x v="14"/>
    <n v="68"/>
    <n v="3.58"/>
    <n v="31"/>
    <n v="3.26"/>
    <n v="37"/>
    <n v="3.92"/>
    <x v="0"/>
  </r>
  <r>
    <x v="0"/>
    <s v="春日部市"/>
    <x v="22"/>
    <x v="0"/>
    <n v="0"/>
    <n v="0"/>
    <n v="0"/>
    <n v="0"/>
    <n v="0"/>
    <n v="0"/>
    <x v="0"/>
  </r>
  <r>
    <x v="0"/>
    <s v="春日部市"/>
    <x v="22"/>
    <x v="1"/>
    <n v="552"/>
    <n v="13.13"/>
    <n v="155"/>
    <n v="7.02"/>
    <n v="397"/>
    <n v="20.16"/>
    <x v="0"/>
  </r>
  <r>
    <x v="0"/>
    <s v="春日部市"/>
    <x v="22"/>
    <x v="2"/>
    <n v="382"/>
    <n v="9.09"/>
    <n v="135"/>
    <n v="6.11"/>
    <n v="247"/>
    <n v="12.54"/>
    <x v="0"/>
  </r>
  <r>
    <x v="0"/>
    <s v="春日部市"/>
    <x v="22"/>
    <x v="3"/>
    <n v="5"/>
    <n v="0.12"/>
    <n v="0"/>
    <n v="0"/>
    <n v="4"/>
    <n v="0.2"/>
    <x v="0"/>
  </r>
  <r>
    <x v="0"/>
    <s v="春日部市"/>
    <x v="22"/>
    <x v="4"/>
    <n v="42"/>
    <n v="1"/>
    <n v="1"/>
    <n v="0.05"/>
    <n v="41"/>
    <n v="2.08"/>
    <x v="0"/>
  </r>
  <r>
    <x v="0"/>
    <s v="春日部市"/>
    <x v="22"/>
    <x v="5"/>
    <n v="34"/>
    <n v="0.81"/>
    <n v="5"/>
    <n v="0.23"/>
    <n v="29"/>
    <n v="1.47"/>
    <x v="0"/>
  </r>
  <r>
    <x v="0"/>
    <s v="春日部市"/>
    <x v="22"/>
    <x v="6"/>
    <n v="863"/>
    <n v="20.53"/>
    <n v="374"/>
    <n v="16.940000000000001"/>
    <n v="488"/>
    <n v="24.78"/>
    <x v="12"/>
  </r>
  <r>
    <x v="0"/>
    <s v="春日部市"/>
    <x v="22"/>
    <x v="7"/>
    <n v="20"/>
    <n v="0.48"/>
    <n v="3"/>
    <n v="0.14000000000000001"/>
    <n v="17"/>
    <n v="0.86"/>
    <x v="0"/>
  </r>
  <r>
    <x v="0"/>
    <s v="春日部市"/>
    <x v="22"/>
    <x v="8"/>
    <n v="392"/>
    <n v="9.32"/>
    <n v="138"/>
    <n v="6.25"/>
    <n v="254"/>
    <n v="12.9"/>
    <x v="0"/>
  </r>
  <r>
    <x v="0"/>
    <s v="春日部市"/>
    <x v="22"/>
    <x v="9"/>
    <n v="231"/>
    <n v="5.49"/>
    <n v="120"/>
    <n v="5.43"/>
    <n v="108"/>
    <n v="5.49"/>
    <x v="0"/>
  </r>
  <r>
    <x v="0"/>
    <s v="春日部市"/>
    <x v="22"/>
    <x v="10"/>
    <n v="486"/>
    <n v="11.56"/>
    <n v="423"/>
    <n v="19.16"/>
    <n v="63"/>
    <n v="3.2"/>
    <x v="0"/>
  </r>
  <r>
    <x v="0"/>
    <s v="春日部市"/>
    <x v="22"/>
    <x v="11"/>
    <n v="641"/>
    <n v="15.25"/>
    <n v="521"/>
    <n v="23.6"/>
    <n v="120"/>
    <n v="6.09"/>
    <x v="0"/>
  </r>
  <r>
    <x v="0"/>
    <s v="春日部市"/>
    <x v="22"/>
    <x v="12"/>
    <n v="189"/>
    <n v="4.5"/>
    <n v="124"/>
    <n v="5.62"/>
    <n v="49"/>
    <n v="2.4900000000000002"/>
    <x v="0"/>
  </r>
  <r>
    <x v="0"/>
    <s v="春日部市"/>
    <x v="22"/>
    <x v="13"/>
    <n v="203"/>
    <n v="4.83"/>
    <n v="149"/>
    <n v="6.75"/>
    <n v="51"/>
    <n v="2.59"/>
    <x v="0"/>
  </r>
  <r>
    <x v="0"/>
    <s v="春日部市"/>
    <x v="22"/>
    <x v="14"/>
    <n v="164"/>
    <n v="3.9"/>
    <n v="60"/>
    <n v="2.72"/>
    <n v="101"/>
    <n v="5.13"/>
    <x v="12"/>
  </r>
  <r>
    <x v="0"/>
    <s v="狭山市"/>
    <x v="23"/>
    <x v="0"/>
    <n v="0"/>
    <n v="0"/>
    <n v="0"/>
    <n v="0"/>
    <n v="0"/>
    <n v="0"/>
    <x v="0"/>
  </r>
  <r>
    <x v="0"/>
    <s v="狭山市"/>
    <x v="23"/>
    <x v="1"/>
    <n v="391"/>
    <n v="15.13"/>
    <n v="99"/>
    <n v="7.91"/>
    <n v="292"/>
    <n v="22.22"/>
    <x v="0"/>
  </r>
  <r>
    <x v="0"/>
    <s v="狭山市"/>
    <x v="23"/>
    <x v="2"/>
    <n v="228"/>
    <n v="8.82"/>
    <n v="66"/>
    <n v="5.28"/>
    <n v="162"/>
    <n v="12.33"/>
    <x v="0"/>
  </r>
  <r>
    <x v="0"/>
    <s v="狭山市"/>
    <x v="23"/>
    <x v="3"/>
    <n v="0"/>
    <n v="0"/>
    <n v="0"/>
    <n v="0"/>
    <n v="0"/>
    <n v="0"/>
    <x v="0"/>
  </r>
  <r>
    <x v="0"/>
    <s v="狭山市"/>
    <x v="23"/>
    <x v="4"/>
    <n v="32"/>
    <n v="1.24"/>
    <n v="1"/>
    <n v="0.08"/>
    <n v="30"/>
    <n v="2.2799999999999998"/>
    <x v="12"/>
  </r>
  <r>
    <x v="0"/>
    <s v="狭山市"/>
    <x v="23"/>
    <x v="5"/>
    <n v="28"/>
    <n v="1.08"/>
    <n v="2"/>
    <n v="0.16"/>
    <n v="26"/>
    <n v="1.98"/>
    <x v="0"/>
  </r>
  <r>
    <x v="0"/>
    <s v="狭山市"/>
    <x v="23"/>
    <x v="6"/>
    <n v="531"/>
    <n v="20.55"/>
    <n v="226"/>
    <n v="18.07"/>
    <n v="305"/>
    <n v="23.21"/>
    <x v="0"/>
  </r>
  <r>
    <x v="0"/>
    <s v="狭山市"/>
    <x v="23"/>
    <x v="7"/>
    <n v="13"/>
    <n v="0.5"/>
    <n v="2"/>
    <n v="0.16"/>
    <n v="11"/>
    <n v="0.84"/>
    <x v="0"/>
  </r>
  <r>
    <x v="0"/>
    <s v="狭山市"/>
    <x v="23"/>
    <x v="8"/>
    <n v="258"/>
    <n v="9.98"/>
    <n v="87"/>
    <n v="6.95"/>
    <n v="168"/>
    <n v="12.79"/>
    <x v="2"/>
  </r>
  <r>
    <x v="0"/>
    <s v="狭山市"/>
    <x v="23"/>
    <x v="9"/>
    <n v="146"/>
    <n v="5.65"/>
    <n v="75"/>
    <n v="6"/>
    <n v="70"/>
    <n v="5.33"/>
    <x v="12"/>
  </r>
  <r>
    <x v="0"/>
    <s v="狭山市"/>
    <x v="23"/>
    <x v="10"/>
    <n v="281"/>
    <n v="10.87"/>
    <n v="224"/>
    <n v="17.91"/>
    <n v="54"/>
    <n v="4.1100000000000003"/>
    <x v="0"/>
  </r>
  <r>
    <x v="0"/>
    <s v="狭山市"/>
    <x v="23"/>
    <x v="11"/>
    <n v="327"/>
    <n v="12.65"/>
    <n v="247"/>
    <n v="19.739999999999998"/>
    <n v="79"/>
    <n v="6.01"/>
    <x v="12"/>
  </r>
  <r>
    <x v="0"/>
    <s v="狭山市"/>
    <x v="23"/>
    <x v="12"/>
    <n v="110"/>
    <n v="4.26"/>
    <n v="90"/>
    <n v="7.19"/>
    <n v="17"/>
    <n v="1.29"/>
    <x v="12"/>
  </r>
  <r>
    <x v="0"/>
    <s v="狭山市"/>
    <x v="23"/>
    <x v="13"/>
    <n v="151"/>
    <n v="5.84"/>
    <n v="97"/>
    <n v="7.75"/>
    <n v="49"/>
    <n v="3.73"/>
    <x v="12"/>
  </r>
  <r>
    <x v="0"/>
    <s v="狭山市"/>
    <x v="23"/>
    <x v="14"/>
    <n v="88"/>
    <n v="3.41"/>
    <n v="35"/>
    <n v="2.8"/>
    <n v="51"/>
    <n v="3.88"/>
    <x v="0"/>
  </r>
  <r>
    <x v="0"/>
    <s v="羽生市"/>
    <x v="24"/>
    <x v="0"/>
    <n v="0"/>
    <n v="0"/>
    <n v="0"/>
    <n v="0"/>
    <n v="0"/>
    <n v="0"/>
    <x v="0"/>
  </r>
  <r>
    <x v="0"/>
    <s v="羽生市"/>
    <x v="24"/>
    <x v="1"/>
    <n v="160"/>
    <n v="13.51"/>
    <n v="76"/>
    <n v="11.82"/>
    <n v="84"/>
    <n v="15.79"/>
    <x v="0"/>
  </r>
  <r>
    <x v="0"/>
    <s v="羽生市"/>
    <x v="24"/>
    <x v="2"/>
    <n v="179"/>
    <n v="15.12"/>
    <n v="80"/>
    <n v="12.44"/>
    <n v="99"/>
    <n v="18.61"/>
    <x v="0"/>
  </r>
  <r>
    <x v="0"/>
    <s v="羽生市"/>
    <x v="24"/>
    <x v="3"/>
    <n v="2"/>
    <n v="0.17"/>
    <n v="0"/>
    <n v="0"/>
    <n v="2"/>
    <n v="0.38"/>
    <x v="0"/>
  </r>
  <r>
    <x v="0"/>
    <s v="羽生市"/>
    <x v="24"/>
    <x v="4"/>
    <n v="4"/>
    <n v="0.34"/>
    <n v="0"/>
    <n v="0"/>
    <n v="4"/>
    <n v="0.75"/>
    <x v="0"/>
  </r>
  <r>
    <x v="0"/>
    <s v="羽生市"/>
    <x v="24"/>
    <x v="5"/>
    <n v="19"/>
    <n v="1.6"/>
    <n v="2"/>
    <n v="0.31"/>
    <n v="17"/>
    <n v="3.2"/>
    <x v="0"/>
  </r>
  <r>
    <x v="0"/>
    <s v="羽生市"/>
    <x v="24"/>
    <x v="6"/>
    <n v="293"/>
    <n v="24.75"/>
    <n v="126"/>
    <n v="19.600000000000001"/>
    <n v="167"/>
    <n v="31.39"/>
    <x v="0"/>
  </r>
  <r>
    <x v="0"/>
    <s v="羽生市"/>
    <x v="24"/>
    <x v="7"/>
    <n v="10"/>
    <n v="0.84"/>
    <n v="2"/>
    <n v="0.31"/>
    <n v="8"/>
    <n v="1.5"/>
    <x v="0"/>
  </r>
  <r>
    <x v="0"/>
    <s v="羽生市"/>
    <x v="24"/>
    <x v="8"/>
    <n v="83"/>
    <n v="7.01"/>
    <n v="33"/>
    <n v="5.13"/>
    <n v="50"/>
    <n v="9.4"/>
    <x v="0"/>
  </r>
  <r>
    <x v="0"/>
    <s v="羽生市"/>
    <x v="24"/>
    <x v="9"/>
    <n v="37"/>
    <n v="3.13"/>
    <n v="18"/>
    <n v="2.8"/>
    <n v="18"/>
    <n v="3.38"/>
    <x v="0"/>
  </r>
  <r>
    <x v="0"/>
    <s v="羽生市"/>
    <x v="24"/>
    <x v="10"/>
    <n v="112"/>
    <n v="9.4600000000000009"/>
    <n v="95"/>
    <n v="14.77"/>
    <n v="16"/>
    <n v="3.01"/>
    <x v="0"/>
  </r>
  <r>
    <x v="0"/>
    <s v="羽生市"/>
    <x v="24"/>
    <x v="11"/>
    <n v="155"/>
    <n v="13.09"/>
    <n v="131"/>
    <n v="20.37"/>
    <n v="23"/>
    <n v="4.32"/>
    <x v="0"/>
  </r>
  <r>
    <x v="0"/>
    <s v="羽生市"/>
    <x v="24"/>
    <x v="12"/>
    <n v="34"/>
    <n v="2.87"/>
    <n v="28"/>
    <n v="4.3499999999999996"/>
    <n v="6"/>
    <n v="1.1299999999999999"/>
    <x v="0"/>
  </r>
  <r>
    <x v="0"/>
    <s v="羽生市"/>
    <x v="24"/>
    <x v="13"/>
    <n v="53"/>
    <n v="4.4800000000000004"/>
    <n v="29"/>
    <n v="4.51"/>
    <n v="19"/>
    <n v="3.57"/>
    <x v="0"/>
  </r>
  <r>
    <x v="0"/>
    <s v="羽生市"/>
    <x v="24"/>
    <x v="14"/>
    <n v="43"/>
    <n v="3.63"/>
    <n v="23"/>
    <n v="3.58"/>
    <n v="19"/>
    <n v="3.57"/>
    <x v="0"/>
  </r>
  <r>
    <x v="0"/>
    <s v="鴻巣市"/>
    <x v="25"/>
    <x v="0"/>
    <n v="0"/>
    <n v="0"/>
    <n v="0"/>
    <n v="0"/>
    <n v="0"/>
    <n v="0"/>
    <x v="0"/>
  </r>
  <r>
    <x v="0"/>
    <s v="鴻巣市"/>
    <x v="25"/>
    <x v="1"/>
    <n v="287"/>
    <n v="14.65"/>
    <n v="89"/>
    <n v="9.1300000000000008"/>
    <n v="198"/>
    <n v="20.37"/>
    <x v="0"/>
  </r>
  <r>
    <x v="0"/>
    <s v="鴻巣市"/>
    <x v="25"/>
    <x v="2"/>
    <n v="169"/>
    <n v="8.6300000000000008"/>
    <n v="47"/>
    <n v="4.82"/>
    <n v="122"/>
    <n v="12.55"/>
    <x v="0"/>
  </r>
  <r>
    <x v="0"/>
    <s v="鴻巣市"/>
    <x v="25"/>
    <x v="3"/>
    <n v="0"/>
    <n v="0"/>
    <n v="0"/>
    <n v="0"/>
    <n v="0"/>
    <n v="0"/>
    <x v="0"/>
  </r>
  <r>
    <x v="0"/>
    <s v="鴻巣市"/>
    <x v="25"/>
    <x v="4"/>
    <n v="20"/>
    <n v="1.02"/>
    <n v="3"/>
    <n v="0.31"/>
    <n v="17"/>
    <n v="1.75"/>
    <x v="0"/>
  </r>
  <r>
    <x v="0"/>
    <s v="鴻巣市"/>
    <x v="25"/>
    <x v="5"/>
    <n v="12"/>
    <n v="0.61"/>
    <n v="1"/>
    <n v="0.1"/>
    <n v="11"/>
    <n v="1.1299999999999999"/>
    <x v="0"/>
  </r>
  <r>
    <x v="0"/>
    <s v="鴻巣市"/>
    <x v="25"/>
    <x v="6"/>
    <n v="441"/>
    <n v="22.51"/>
    <n v="187"/>
    <n v="19.18"/>
    <n v="254"/>
    <n v="26.13"/>
    <x v="0"/>
  </r>
  <r>
    <x v="0"/>
    <s v="鴻巣市"/>
    <x v="25"/>
    <x v="7"/>
    <n v="13"/>
    <n v="0.66"/>
    <n v="6"/>
    <n v="0.62"/>
    <n v="7"/>
    <n v="0.72"/>
    <x v="0"/>
  </r>
  <r>
    <x v="0"/>
    <s v="鴻巣市"/>
    <x v="25"/>
    <x v="8"/>
    <n v="192"/>
    <n v="9.8000000000000007"/>
    <n v="96"/>
    <n v="9.85"/>
    <n v="95"/>
    <n v="9.77"/>
    <x v="0"/>
  </r>
  <r>
    <x v="0"/>
    <s v="鴻巣市"/>
    <x v="25"/>
    <x v="9"/>
    <n v="92"/>
    <n v="4.7"/>
    <n v="44"/>
    <n v="4.51"/>
    <n v="48"/>
    <n v="4.9400000000000004"/>
    <x v="0"/>
  </r>
  <r>
    <x v="0"/>
    <s v="鴻巣市"/>
    <x v="25"/>
    <x v="10"/>
    <n v="151"/>
    <n v="7.71"/>
    <n v="121"/>
    <n v="12.41"/>
    <n v="30"/>
    <n v="3.09"/>
    <x v="0"/>
  </r>
  <r>
    <x v="0"/>
    <s v="鴻巣市"/>
    <x v="25"/>
    <x v="11"/>
    <n v="301"/>
    <n v="15.36"/>
    <n v="233"/>
    <n v="23.9"/>
    <n v="68"/>
    <n v="7"/>
    <x v="0"/>
  </r>
  <r>
    <x v="0"/>
    <s v="鴻巣市"/>
    <x v="25"/>
    <x v="12"/>
    <n v="77"/>
    <n v="3.93"/>
    <n v="59"/>
    <n v="6.05"/>
    <n v="18"/>
    <n v="1.85"/>
    <x v="0"/>
  </r>
  <r>
    <x v="0"/>
    <s v="鴻巣市"/>
    <x v="25"/>
    <x v="13"/>
    <n v="125"/>
    <n v="6.38"/>
    <n v="62"/>
    <n v="6.36"/>
    <n v="54"/>
    <n v="5.56"/>
    <x v="0"/>
  </r>
  <r>
    <x v="0"/>
    <s v="鴻巣市"/>
    <x v="25"/>
    <x v="14"/>
    <n v="79"/>
    <n v="4.03"/>
    <n v="27"/>
    <n v="2.77"/>
    <n v="50"/>
    <n v="5.14"/>
    <x v="0"/>
  </r>
  <r>
    <x v="0"/>
    <s v="深谷市"/>
    <x v="26"/>
    <x v="0"/>
    <n v="0"/>
    <n v="0"/>
    <n v="0"/>
    <n v="0"/>
    <n v="0"/>
    <n v="0"/>
    <x v="0"/>
  </r>
  <r>
    <x v="0"/>
    <s v="深谷市"/>
    <x v="26"/>
    <x v="1"/>
    <n v="495"/>
    <n v="16.98"/>
    <n v="213"/>
    <n v="13.37"/>
    <n v="282"/>
    <n v="21.59"/>
    <x v="0"/>
  </r>
  <r>
    <x v="0"/>
    <s v="深谷市"/>
    <x v="26"/>
    <x v="2"/>
    <n v="280"/>
    <n v="9.61"/>
    <n v="115"/>
    <n v="7.22"/>
    <n v="165"/>
    <n v="12.63"/>
    <x v="0"/>
  </r>
  <r>
    <x v="0"/>
    <s v="深谷市"/>
    <x v="26"/>
    <x v="3"/>
    <n v="13"/>
    <n v="0.45"/>
    <n v="0"/>
    <n v="0"/>
    <n v="13"/>
    <n v="1"/>
    <x v="0"/>
  </r>
  <r>
    <x v="0"/>
    <s v="深谷市"/>
    <x v="26"/>
    <x v="4"/>
    <n v="9"/>
    <n v="0.31"/>
    <n v="1"/>
    <n v="0.06"/>
    <n v="8"/>
    <n v="0.61"/>
    <x v="0"/>
  </r>
  <r>
    <x v="0"/>
    <s v="深谷市"/>
    <x v="26"/>
    <x v="5"/>
    <n v="35"/>
    <n v="1.2"/>
    <n v="2"/>
    <n v="0.13"/>
    <n v="33"/>
    <n v="2.5299999999999998"/>
    <x v="0"/>
  </r>
  <r>
    <x v="0"/>
    <s v="深谷市"/>
    <x v="26"/>
    <x v="6"/>
    <n v="648"/>
    <n v="22.23"/>
    <n v="320"/>
    <n v="20.09"/>
    <n v="328"/>
    <n v="25.11"/>
    <x v="0"/>
  </r>
  <r>
    <x v="0"/>
    <s v="深谷市"/>
    <x v="26"/>
    <x v="7"/>
    <n v="11"/>
    <n v="0.38"/>
    <n v="6"/>
    <n v="0.38"/>
    <n v="5"/>
    <n v="0.38"/>
    <x v="0"/>
  </r>
  <r>
    <x v="0"/>
    <s v="深谷市"/>
    <x v="26"/>
    <x v="8"/>
    <n v="207"/>
    <n v="7.1"/>
    <n v="68"/>
    <n v="4.2699999999999996"/>
    <n v="139"/>
    <n v="10.64"/>
    <x v="0"/>
  </r>
  <r>
    <x v="0"/>
    <s v="深谷市"/>
    <x v="26"/>
    <x v="9"/>
    <n v="123"/>
    <n v="4.22"/>
    <n v="63"/>
    <n v="3.95"/>
    <n v="60"/>
    <n v="4.59"/>
    <x v="0"/>
  </r>
  <r>
    <x v="0"/>
    <s v="深谷市"/>
    <x v="26"/>
    <x v="10"/>
    <n v="307"/>
    <n v="10.53"/>
    <n v="250"/>
    <n v="15.69"/>
    <n v="56"/>
    <n v="4.29"/>
    <x v="0"/>
  </r>
  <r>
    <x v="0"/>
    <s v="深谷市"/>
    <x v="26"/>
    <x v="11"/>
    <n v="392"/>
    <n v="13.45"/>
    <n v="310"/>
    <n v="19.46"/>
    <n v="80"/>
    <n v="6.13"/>
    <x v="2"/>
  </r>
  <r>
    <x v="0"/>
    <s v="深谷市"/>
    <x v="26"/>
    <x v="12"/>
    <n v="104"/>
    <n v="3.57"/>
    <n v="70"/>
    <n v="4.3899999999999997"/>
    <n v="26"/>
    <n v="1.99"/>
    <x v="0"/>
  </r>
  <r>
    <x v="0"/>
    <s v="深谷市"/>
    <x v="26"/>
    <x v="13"/>
    <n v="161"/>
    <n v="5.52"/>
    <n v="104"/>
    <n v="6.53"/>
    <n v="53"/>
    <n v="4.0599999999999996"/>
    <x v="12"/>
  </r>
  <r>
    <x v="0"/>
    <s v="深谷市"/>
    <x v="26"/>
    <x v="14"/>
    <n v="130"/>
    <n v="4.46"/>
    <n v="71"/>
    <n v="4.46"/>
    <n v="58"/>
    <n v="4.4400000000000004"/>
    <x v="0"/>
  </r>
  <r>
    <x v="0"/>
    <s v="上尾市"/>
    <x v="27"/>
    <x v="0"/>
    <n v="0"/>
    <n v="0"/>
    <n v="0"/>
    <n v="0"/>
    <n v="0"/>
    <n v="0"/>
    <x v="0"/>
  </r>
  <r>
    <x v="0"/>
    <s v="上尾市"/>
    <x v="27"/>
    <x v="1"/>
    <n v="505"/>
    <n v="14.21"/>
    <n v="95"/>
    <n v="6.09"/>
    <n v="410"/>
    <n v="20.67"/>
    <x v="0"/>
  </r>
  <r>
    <x v="0"/>
    <s v="上尾市"/>
    <x v="27"/>
    <x v="2"/>
    <n v="292"/>
    <n v="8.2200000000000006"/>
    <n v="64"/>
    <n v="4.0999999999999996"/>
    <n v="228"/>
    <n v="11.49"/>
    <x v="0"/>
  </r>
  <r>
    <x v="0"/>
    <s v="上尾市"/>
    <x v="27"/>
    <x v="3"/>
    <n v="1"/>
    <n v="0.03"/>
    <n v="0"/>
    <n v="0"/>
    <n v="1"/>
    <n v="0.05"/>
    <x v="0"/>
  </r>
  <r>
    <x v="0"/>
    <s v="上尾市"/>
    <x v="27"/>
    <x v="4"/>
    <n v="41"/>
    <n v="1.1499999999999999"/>
    <n v="3"/>
    <n v="0.19"/>
    <n v="38"/>
    <n v="1.92"/>
    <x v="0"/>
  </r>
  <r>
    <x v="0"/>
    <s v="上尾市"/>
    <x v="27"/>
    <x v="5"/>
    <n v="32"/>
    <n v="0.9"/>
    <n v="2"/>
    <n v="0.13"/>
    <n v="30"/>
    <n v="1.51"/>
    <x v="0"/>
  </r>
  <r>
    <x v="0"/>
    <s v="上尾市"/>
    <x v="27"/>
    <x v="6"/>
    <n v="607"/>
    <n v="17.079999999999998"/>
    <n v="194"/>
    <n v="12.44"/>
    <n v="413"/>
    <n v="20.82"/>
    <x v="0"/>
  </r>
  <r>
    <x v="0"/>
    <s v="上尾市"/>
    <x v="27"/>
    <x v="7"/>
    <n v="18"/>
    <n v="0.51"/>
    <n v="1"/>
    <n v="0.06"/>
    <n v="17"/>
    <n v="0.86"/>
    <x v="0"/>
  </r>
  <r>
    <x v="0"/>
    <s v="上尾市"/>
    <x v="27"/>
    <x v="8"/>
    <n v="461"/>
    <n v="12.97"/>
    <n v="137"/>
    <n v="8.7799999999999994"/>
    <n v="324"/>
    <n v="16.329999999999998"/>
    <x v="0"/>
  </r>
  <r>
    <x v="0"/>
    <s v="上尾市"/>
    <x v="27"/>
    <x v="9"/>
    <n v="204"/>
    <n v="5.74"/>
    <n v="97"/>
    <n v="6.22"/>
    <n v="107"/>
    <n v="5.39"/>
    <x v="0"/>
  </r>
  <r>
    <x v="0"/>
    <s v="上尾市"/>
    <x v="27"/>
    <x v="10"/>
    <n v="356"/>
    <n v="10.02"/>
    <n v="283"/>
    <n v="18.14"/>
    <n v="73"/>
    <n v="3.68"/>
    <x v="0"/>
  </r>
  <r>
    <x v="0"/>
    <s v="上尾市"/>
    <x v="27"/>
    <x v="11"/>
    <n v="467"/>
    <n v="13.14"/>
    <n v="336"/>
    <n v="21.54"/>
    <n v="131"/>
    <n v="6.6"/>
    <x v="0"/>
  </r>
  <r>
    <x v="0"/>
    <s v="上尾市"/>
    <x v="27"/>
    <x v="12"/>
    <n v="217"/>
    <n v="6.11"/>
    <n v="168"/>
    <n v="10.77"/>
    <n v="43"/>
    <n v="2.17"/>
    <x v="0"/>
  </r>
  <r>
    <x v="0"/>
    <s v="上尾市"/>
    <x v="27"/>
    <x v="13"/>
    <n v="202"/>
    <n v="5.69"/>
    <n v="139"/>
    <n v="8.91"/>
    <n v="63"/>
    <n v="3.18"/>
    <x v="0"/>
  </r>
  <r>
    <x v="0"/>
    <s v="上尾市"/>
    <x v="27"/>
    <x v="14"/>
    <n v="150"/>
    <n v="4.22"/>
    <n v="41"/>
    <n v="2.63"/>
    <n v="106"/>
    <n v="5.34"/>
    <x v="0"/>
  </r>
  <r>
    <x v="0"/>
    <s v="草加市"/>
    <x v="28"/>
    <x v="0"/>
    <n v="0"/>
    <n v="0"/>
    <n v="0"/>
    <n v="0"/>
    <n v="0"/>
    <n v="0"/>
    <x v="0"/>
  </r>
  <r>
    <x v="0"/>
    <s v="草加市"/>
    <x v="28"/>
    <x v="1"/>
    <n v="657"/>
    <n v="15.44"/>
    <n v="81"/>
    <n v="5.0599999999999996"/>
    <n v="575"/>
    <n v="21.8"/>
    <x v="12"/>
  </r>
  <r>
    <x v="0"/>
    <s v="草加市"/>
    <x v="28"/>
    <x v="2"/>
    <n v="714"/>
    <n v="16.78"/>
    <n v="199"/>
    <n v="12.43"/>
    <n v="515"/>
    <n v="19.52"/>
    <x v="0"/>
  </r>
  <r>
    <x v="0"/>
    <s v="草加市"/>
    <x v="28"/>
    <x v="3"/>
    <n v="1"/>
    <n v="0.02"/>
    <n v="0"/>
    <n v="0"/>
    <n v="1"/>
    <n v="0.04"/>
    <x v="0"/>
  </r>
  <r>
    <x v="0"/>
    <s v="草加市"/>
    <x v="28"/>
    <x v="4"/>
    <n v="45"/>
    <n v="1.06"/>
    <n v="0"/>
    <n v="0"/>
    <n v="45"/>
    <n v="1.71"/>
    <x v="0"/>
  </r>
  <r>
    <x v="0"/>
    <s v="草加市"/>
    <x v="28"/>
    <x v="5"/>
    <n v="52"/>
    <n v="1.22"/>
    <n v="4"/>
    <n v="0.25"/>
    <n v="48"/>
    <n v="1.82"/>
    <x v="0"/>
  </r>
  <r>
    <x v="0"/>
    <s v="草加市"/>
    <x v="28"/>
    <x v="6"/>
    <n v="746"/>
    <n v="17.54"/>
    <n v="249"/>
    <n v="15.55"/>
    <n v="497"/>
    <n v="18.84"/>
    <x v="0"/>
  </r>
  <r>
    <x v="0"/>
    <s v="草加市"/>
    <x v="28"/>
    <x v="7"/>
    <n v="25"/>
    <n v="0.59"/>
    <n v="5"/>
    <n v="0.31"/>
    <n v="20"/>
    <n v="0.76"/>
    <x v="0"/>
  </r>
  <r>
    <x v="0"/>
    <s v="草加市"/>
    <x v="28"/>
    <x v="8"/>
    <n v="444"/>
    <n v="10.44"/>
    <n v="91"/>
    <n v="5.68"/>
    <n v="351"/>
    <n v="13.31"/>
    <x v="2"/>
  </r>
  <r>
    <x v="0"/>
    <s v="草加市"/>
    <x v="28"/>
    <x v="9"/>
    <n v="181"/>
    <n v="4.25"/>
    <n v="61"/>
    <n v="3.81"/>
    <n v="120"/>
    <n v="4.55"/>
    <x v="0"/>
  </r>
  <r>
    <x v="0"/>
    <s v="草加市"/>
    <x v="28"/>
    <x v="10"/>
    <n v="417"/>
    <n v="9.8000000000000007"/>
    <n v="328"/>
    <n v="20.49"/>
    <n v="88"/>
    <n v="3.34"/>
    <x v="12"/>
  </r>
  <r>
    <x v="0"/>
    <s v="草加市"/>
    <x v="28"/>
    <x v="11"/>
    <n v="470"/>
    <n v="11.05"/>
    <n v="329"/>
    <n v="20.55"/>
    <n v="141"/>
    <n v="5.34"/>
    <x v="0"/>
  </r>
  <r>
    <x v="0"/>
    <s v="草加市"/>
    <x v="28"/>
    <x v="12"/>
    <n v="149"/>
    <n v="3.5"/>
    <n v="94"/>
    <n v="5.87"/>
    <n v="52"/>
    <n v="1.97"/>
    <x v="0"/>
  </r>
  <r>
    <x v="0"/>
    <s v="草加市"/>
    <x v="28"/>
    <x v="13"/>
    <n v="192"/>
    <n v="4.51"/>
    <n v="125"/>
    <n v="7.81"/>
    <n v="66"/>
    <n v="2.5"/>
    <x v="0"/>
  </r>
  <r>
    <x v="0"/>
    <s v="草加市"/>
    <x v="28"/>
    <x v="14"/>
    <n v="161"/>
    <n v="3.78"/>
    <n v="35"/>
    <n v="2.19"/>
    <n v="119"/>
    <n v="4.51"/>
    <x v="1"/>
  </r>
  <r>
    <x v="0"/>
    <s v="越谷市"/>
    <x v="29"/>
    <x v="0"/>
    <n v="0"/>
    <n v="0"/>
    <n v="0"/>
    <n v="0"/>
    <n v="0"/>
    <n v="0"/>
    <x v="0"/>
  </r>
  <r>
    <x v="0"/>
    <s v="越谷市"/>
    <x v="29"/>
    <x v="1"/>
    <n v="799"/>
    <n v="13.83"/>
    <n v="134"/>
    <n v="5.29"/>
    <n v="665"/>
    <n v="20.56"/>
    <x v="0"/>
  </r>
  <r>
    <x v="0"/>
    <s v="越谷市"/>
    <x v="29"/>
    <x v="2"/>
    <n v="615"/>
    <n v="10.64"/>
    <n v="185"/>
    <n v="7.31"/>
    <n v="430"/>
    <n v="13.3"/>
    <x v="0"/>
  </r>
  <r>
    <x v="0"/>
    <s v="越谷市"/>
    <x v="29"/>
    <x v="3"/>
    <n v="4"/>
    <n v="7.0000000000000007E-2"/>
    <n v="0"/>
    <n v="0"/>
    <n v="4"/>
    <n v="0.12"/>
    <x v="0"/>
  </r>
  <r>
    <x v="0"/>
    <s v="越谷市"/>
    <x v="29"/>
    <x v="4"/>
    <n v="71"/>
    <n v="1.23"/>
    <n v="0"/>
    <n v="0"/>
    <n v="71"/>
    <n v="2.2000000000000002"/>
    <x v="0"/>
  </r>
  <r>
    <x v="0"/>
    <s v="越谷市"/>
    <x v="29"/>
    <x v="5"/>
    <n v="69"/>
    <n v="1.19"/>
    <n v="9"/>
    <n v="0.36"/>
    <n v="60"/>
    <n v="1.86"/>
    <x v="0"/>
  </r>
  <r>
    <x v="0"/>
    <s v="越谷市"/>
    <x v="29"/>
    <x v="6"/>
    <n v="1255"/>
    <n v="21.72"/>
    <n v="434"/>
    <n v="17.149999999999999"/>
    <n v="821"/>
    <n v="25.39"/>
    <x v="0"/>
  </r>
  <r>
    <x v="0"/>
    <s v="越谷市"/>
    <x v="29"/>
    <x v="7"/>
    <n v="32"/>
    <n v="0.55000000000000004"/>
    <n v="5"/>
    <n v="0.2"/>
    <n v="27"/>
    <n v="0.83"/>
    <x v="0"/>
  </r>
  <r>
    <x v="0"/>
    <s v="越谷市"/>
    <x v="29"/>
    <x v="8"/>
    <n v="510"/>
    <n v="8.83"/>
    <n v="100"/>
    <n v="3.95"/>
    <n v="408"/>
    <n v="12.62"/>
    <x v="2"/>
  </r>
  <r>
    <x v="0"/>
    <s v="越谷市"/>
    <x v="29"/>
    <x v="9"/>
    <n v="285"/>
    <n v="4.93"/>
    <n v="158"/>
    <n v="6.24"/>
    <n v="126"/>
    <n v="3.9"/>
    <x v="0"/>
  </r>
  <r>
    <x v="0"/>
    <s v="越谷市"/>
    <x v="29"/>
    <x v="10"/>
    <n v="634"/>
    <n v="10.97"/>
    <n v="515"/>
    <n v="20.350000000000001"/>
    <n v="119"/>
    <n v="3.68"/>
    <x v="0"/>
  </r>
  <r>
    <x v="0"/>
    <s v="越谷市"/>
    <x v="29"/>
    <x v="11"/>
    <n v="781"/>
    <n v="13.51"/>
    <n v="561"/>
    <n v="22.17"/>
    <n v="216"/>
    <n v="6.68"/>
    <x v="0"/>
  </r>
  <r>
    <x v="0"/>
    <s v="越谷市"/>
    <x v="29"/>
    <x v="12"/>
    <n v="249"/>
    <n v="4.3099999999999996"/>
    <n v="179"/>
    <n v="7.07"/>
    <n v="68"/>
    <n v="2.1"/>
    <x v="0"/>
  </r>
  <r>
    <x v="0"/>
    <s v="越谷市"/>
    <x v="29"/>
    <x v="13"/>
    <n v="290"/>
    <n v="5.0199999999999996"/>
    <n v="200"/>
    <n v="7.9"/>
    <n v="86"/>
    <n v="2.66"/>
    <x v="0"/>
  </r>
  <r>
    <x v="0"/>
    <s v="越谷市"/>
    <x v="29"/>
    <x v="14"/>
    <n v="185"/>
    <n v="3.2"/>
    <n v="51"/>
    <n v="2.02"/>
    <n v="133"/>
    <n v="4.1100000000000003"/>
    <x v="12"/>
  </r>
  <r>
    <x v="0"/>
    <s v="蕨市"/>
    <x v="30"/>
    <x v="0"/>
    <n v="0"/>
    <n v="0"/>
    <n v="0"/>
    <n v="0"/>
    <n v="0"/>
    <n v="0"/>
    <x v="0"/>
  </r>
  <r>
    <x v="0"/>
    <s v="蕨市"/>
    <x v="30"/>
    <x v="1"/>
    <n v="190"/>
    <n v="12.31"/>
    <n v="30"/>
    <n v="4.25"/>
    <n v="160"/>
    <n v="19.350000000000001"/>
    <x v="0"/>
  </r>
  <r>
    <x v="0"/>
    <s v="蕨市"/>
    <x v="30"/>
    <x v="2"/>
    <n v="116"/>
    <n v="7.52"/>
    <n v="27"/>
    <n v="3.82"/>
    <n v="89"/>
    <n v="10.76"/>
    <x v="0"/>
  </r>
  <r>
    <x v="0"/>
    <s v="蕨市"/>
    <x v="30"/>
    <x v="3"/>
    <n v="0"/>
    <n v="0"/>
    <n v="0"/>
    <n v="0"/>
    <n v="0"/>
    <n v="0"/>
    <x v="0"/>
  </r>
  <r>
    <x v="0"/>
    <s v="蕨市"/>
    <x v="30"/>
    <x v="4"/>
    <n v="24"/>
    <n v="1.56"/>
    <n v="1"/>
    <n v="0.14000000000000001"/>
    <n v="23"/>
    <n v="2.78"/>
    <x v="0"/>
  </r>
  <r>
    <x v="0"/>
    <s v="蕨市"/>
    <x v="30"/>
    <x v="5"/>
    <n v="5"/>
    <n v="0.32"/>
    <n v="0"/>
    <n v="0"/>
    <n v="5"/>
    <n v="0.6"/>
    <x v="0"/>
  </r>
  <r>
    <x v="0"/>
    <s v="蕨市"/>
    <x v="30"/>
    <x v="6"/>
    <n v="295"/>
    <n v="19.12"/>
    <n v="112"/>
    <n v="15.86"/>
    <n v="183"/>
    <n v="22.13"/>
    <x v="0"/>
  </r>
  <r>
    <x v="0"/>
    <s v="蕨市"/>
    <x v="30"/>
    <x v="7"/>
    <n v="9"/>
    <n v="0.57999999999999996"/>
    <n v="0"/>
    <n v="0"/>
    <n v="9"/>
    <n v="1.0900000000000001"/>
    <x v="0"/>
  </r>
  <r>
    <x v="0"/>
    <s v="蕨市"/>
    <x v="30"/>
    <x v="8"/>
    <n v="253"/>
    <n v="16.399999999999999"/>
    <n v="86"/>
    <n v="12.18"/>
    <n v="167"/>
    <n v="20.190000000000001"/>
    <x v="0"/>
  </r>
  <r>
    <x v="0"/>
    <s v="蕨市"/>
    <x v="30"/>
    <x v="9"/>
    <n v="65"/>
    <n v="4.21"/>
    <n v="28"/>
    <n v="3.97"/>
    <n v="37"/>
    <n v="4.47"/>
    <x v="0"/>
  </r>
  <r>
    <x v="0"/>
    <s v="蕨市"/>
    <x v="30"/>
    <x v="10"/>
    <n v="210"/>
    <n v="13.61"/>
    <n v="173"/>
    <n v="24.5"/>
    <n v="36"/>
    <n v="4.3499999999999996"/>
    <x v="0"/>
  </r>
  <r>
    <x v="0"/>
    <s v="蕨市"/>
    <x v="30"/>
    <x v="11"/>
    <n v="202"/>
    <n v="13.09"/>
    <n v="149"/>
    <n v="21.1"/>
    <n v="53"/>
    <n v="6.41"/>
    <x v="0"/>
  </r>
  <r>
    <x v="0"/>
    <s v="蕨市"/>
    <x v="30"/>
    <x v="12"/>
    <n v="57"/>
    <n v="3.69"/>
    <n v="40"/>
    <n v="5.67"/>
    <n v="13"/>
    <n v="1.57"/>
    <x v="0"/>
  </r>
  <r>
    <x v="0"/>
    <s v="蕨市"/>
    <x v="30"/>
    <x v="13"/>
    <n v="89"/>
    <n v="5.77"/>
    <n v="52"/>
    <n v="7.37"/>
    <n v="33"/>
    <n v="3.99"/>
    <x v="0"/>
  </r>
  <r>
    <x v="0"/>
    <s v="蕨市"/>
    <x v="30"/>
    <x v="14"/>
    <n v="28"/>
    <n v="1.81"/>
    <n v="8"/>
    <n v="1.1299999999999999"/>
    <n v="19"/>
    <n v="2.2999999999999998"/>
    <x v="0"/>
  </r>
  <r>
    <x v="0"/>
    <s v="戸田市"/>
    <x v="31"/>
    <x v="0"/>
    <n v="0"/>
    <n v="0"/>
    <n v="0"/>
    <n v="0"/>
    <n v="0"/>
    <n v="0"/>
    <x v="0"/>
  </r>
  <r>
    <x v="0"/>
    <s v="戸田市"/>
    <x v="31"/>
    <x v="1"/>
    <n v="400"/>
    <n v="13.71"/>
    <n v="43"/>
    <n v="4.71"/>
    <n v="357"/>
    <n v="17.89"/>
    <x v="0"/>
  </r>
  <r>
    <x v="0"/>
    <s v="戸田市"/>
    <x v="31"/>
    <x v="2"/>
    <n v="499"/>
    <n v="17.11"/>
    <n v="87"/>
    <n v="9.5299999999999994"/>
    <n v="412"/>
    <n v="20.64"/>
    <x v="0"/>
  </r>
  <r>
    <x v="0"/>
    <s v="戸田市"/>
    <x v="31"/>
    <x v="3"/>
    <n v="1"/>
    <n v="0.03"/>
    <n v="0"/>
    <n v="0"/>
    <n v="1"/>
    <n v="0.05"/>
    <x v="0"/>
  </r>
  <r>
    <x v="0"/>
    <s v="戸田市"/>
    <x v="31"/>
    <x v="4"/>
    <n v="38"/>
    <n v="1.3"/>
    <n v="1"/>
    <n v="0.11"/>
    <n v="36"/>
    <n v="1.8"/>
    <x v="12"/>
  </r>
  <r>
    <x v="0"/>
    <s v="戸田市"/>
    <x v="31"/>
    <x v="5"/>
    <n v="65"/>
    <n v="2.23"/>
    <n v="3"/>
    <n v="0.33"/>
    <n v="62"/>
    <n v="3.11"/>
    <x v="0"/>
  </r>
  <r>
    <x v="0"/>
    <s v="戸田市"/>
    <x v="31"/>
    <x v="6"/>
    <n v="417"/>
    <n v="14.3"/>
    <n v="114"/>
    <n v="12.49"/>
    <n v="303"/>
    <n v="15.18"/>
    <x v="0"/>
  </r>
  <r>
    <x v="0"/>
    <s v="戸田市"/>
    <x v="31"/>
    <x v="7"/>
    <n v="7"/>
    <n v="0.24"/>
    <n v="0"/>
    <n v="0"/>
    <n v="7"/>
    <n v="0.35"/>
    <x v="0"/>
  </r>
  <r>
    <x v="0"/>
    <s v="戸田市"/>
    <x v="31"/>
    <x v="8"/>
    <n v="578"/>
    <n v="19.809999999999999"/>
    <n v="135"/>
    <n v="14.79"/>
    <n v="443"/>
    <n v="22.19"/>
    <x v="0"/>
  </r>
  <r>
    <x v="0"/>
    <s v="戸田市"/>
    <x v="31"/>
    <x v="9"/>
    <n v="132"/>
    <n v="4.53"/>
    <n v="55"/>
    <n v="6.02"/>
    <n v="76"/>
    <n v="3.81"/>
    <x v="0"/>
  </r>
  <r>
    <x v="0"/>
    <s v="戸田市"/>
    <x v="31"/>
    <x v="10"/>
    <n v="196"/>
    <n v="6.72"/>
    <n v="139"/>
    <n v="15.22"/>
    <n v="57"/>
    <n v="2.86"/>
    <x v="0"/>
  </r>
  <r>
    <x v="0"/>
    <s v="戸田市"/>
    <x v="31"/>
    <x v="11"/>
    <n v="240"/>
    <n v="8.23"/>
    <n v="171"/>
    <n v="18.73"/>
    <n v="69"/>
    <n v="3.46"/>
    <x v="0"/>
  </r>
  <r>
    <x v="0"/>
    <s v="戸田市"/>
    <x v="31"/>
    <x v="12"/>
    <n v="110"/>
    <n v="3.77"/>
    <n v="73"/>
    <n v="8"/>
    <n v="36"/>
    <n v="1.8"/>
    <x v="0"/>
  </r>
  <r>
    <x v="0"/>
    <s v="戸田市"/>
    <x v="31"/>
    <x v="13"/>
    <n v="118"/>
    <n v="4.05"/>
    <n v="65"/>
    <n v="7.12"/>
    <n v="50"/>
    <n v="2.5099999999999998"/>
    <x v="0"/>
  </r>
  <r>
    <x v="0"/>
    <s v="戸田市"/>
    <x v="31"/>
    <x v="14"/>
    <n v="116"/>
    <n v="3.98"/>
    <n v="27"/>
    <n v="2.96"/>
    <n v="87"/>
    <n v="4.3600000000000003"/>
    <x v="2"/>
  </r>
  <r>
    <x v="0"/>
    <s v="入間市"/>
    <x v="32"/>
    <x v="0"/>
    <n v="0"/>
    <n v="0"/>
    <n v="0"/>
    <n v="0"/>
    <n v="0"/>
    <n v="0"/>
    <x v="0"/>
  </r>
  <r>
    <x v="0"/>
    <s v="入間市"/>
    <x v="32"/>
    <x v="1"/>
    <n v="476"/>
    <n v="17.079999999999998"/>
    <n v="104"/>
    <n v="8.5500000000000007"/>
    <n v="372"/>
    <n v="23.94"/>
    <x v="0"/>
  </r>
  <r>
    <x v="0"/>
    <s v="入間市"/>
    <x v="32"/>
    <x v="2"/>
    <n v="357"/>
    <n v="12.81"/>
    <n v="101"/>
    <n v="8.31"/>
    <n v="256"/>
    <n v="16.47"/>
    <x v="0"/>
  </r>
  <r>
    <x v="0"/>
    <s v="入間市"/>
    <x v="32"/>
    <x v="3"/>
    <n v="0"/>
    <n v="0"/>
    <n v="0"/>
    <n v="0"/>
    <n v="0"/>
    <n v="0"/>
    <x v="0"/>
  </r>
  <r>
    <x v="0"/>
    <s v="入間市"/>
    <x v="32"/>
    <x v="4"/>
    <n v="35"/>
    <n v="1.26"/>
    <n v="1"/>
    <n v="0.08"/>
    <n v="33"/>
    <n v="2.12"/>
    <x v="12"/>
  </r>
  <r>
    <x v="0"/>
    <s v="入間市"/>
    <x v="32"/>
    <x v="5"/>
    <n v="26"/>
    <n v="0.93"/>
    <n v="1"/>
    <n v="0.08"/>
    <n v="25"/>
    <n v="1.61"/>
    <x v="0"/>
  </r>
  <r>
    <x v="0"/>
    <s v="入間市"/>
    <x v="32"/>
    <x v="6"/>
    <n v="597"/>
    <n v="21.42"/>
    <n v="251"/>
    <n v="20.64"/>
    <n v="345"/>
    <n v="22.2"/>
    <x v="12"/>
  </r>
  <r>
    <x v="0"/>
    <s v="入間市"/>
    <x v="32"/>
    <x v="7"/>
    <n v="14"/>
    <n v="0.5"/>
    <n v="1"/>
    <n v="0.08"/>
    <n v="13"/>
    <n v="0.84"/>
    <x v="0"/>
  </r>
  <r>
    <x v="0"/>
    <s v="入間市"/>
    <x v="32"/>
    <x v="8"/>
    <n v="210"/>
    <n v="7.53"/>
    <n v="47"/>
    <n v="3.87"/>
    <n v="162"/>
    <n v="10.42"/>
    <x v="12"/>
  </r>
  <r>
    <x v="0"/>
    <s v="入間市"/>
    <x v="32"/>
    <x v="9"/>
    <n v="128"/>
    <n v="4.59"/>
    <n v="55"/>
    <n v="4.5199999999999996"/>
    <n v="73"/>
    <n v="4.7"/>
    <x v="0"/>
  </r>
  <r>
    <x v="0"/>
    <s v="入間市"/>
    <x v="32"/>
    <x v="10"/>
    <n v="249"/>
    <n v="8.93"/>
    <n v="207"/>
    <n v="17.02"/>
    <n v="41"/>
    <n v="2.64"/>
    <x v="0"/>
  </r>
  <r>
    <x v="0"/>
    <s v="入間市"/>
    <x v="32"/>
    <x v="11"/>
    <n v="325"/>
    <n v="11.66"/>
    <n v="246"/>
    <n v="20.23"/>
    <n v="79"/>
    <n v="5.08"/>
    <x v="0"/>
  </r>
  <r>
    <x v="0"/>
    <s v="入間市"/>
    <x v="32"/>
    <x v="12"/>
    <n v="132"/>
    <n v="4.74"/>
    <n v="87"/>
    <n v="7.15"/>
    <n v="32"/>
    <n v="2.06"/>
    <x v="0"/>
  </r>
  <r>
    <x v="0"/>
    <s v="入間市"/>
    <x v="32"/>
    <x v="13"/>
    <n v="151"/>
    <n v="5.42"/>
    <n v="88"/>
    <n v="7.24"/>
    <n v="63"/>
    <n v="4.05"/>
    <x v="0"/>
  </r>
  <r>
    <x v="0"/>
    <s v="入間市"/>
    <x v="32"/>
    <x v="14"/>
    <n v="87"/>
    <n v="3.12"/>
    <n v="27"/>
    <n v="2.2200000000000002"/>
    <n v="60"/>
    <n v="3.86"/>
    <x v="0"/>
  </r>
  <r>
    <x v="0"/>
    <s v="朝霞市"/>
    <x v="33"/>
    <x v="0"/>
    <n v="0"/>
    <n v="0"/>
    <n v="0"/>
    <n v="0"/>
    <n v="0"/>
    <n v="0"/>
    <x v="0"/>
  </r>
  <r>
    <x v="0"/>
    <s v="朝霞市"/>
    <x v="33"/>
    <x v="1"/>
    <n v="413"/>
    <n v="20.399999999999999"/>
    <n v="44"/>
    <n v="6.7"/>
    <n v="369"/>
    <n v="27.03"/>
    <x v="0"/>
  </r>
  <r>
    <x v="0"/>
    <s v="朝霞市"/>
    <x v="33"/>
    <x v="2"/>
    <n v="236"/>
    <n v="11.65"/>
    <n v="51"/>
    <n v="7.76"/>
    <n v="185"/>
    <n v="13.55"/>
    <x v="0"/>
  </r>
  <r>
    <x v="0"/>
    <s v="朝霞市"/>
    <x v="33"/>
    <x v="3"/>
    <n v="3"/>
    <n v="0.15"/>
    <n v="0"/>
    <n v="0"/>
    <n v="3"/>
    <n v="0.22"/>
    <x v="0"/>
  </r>
  <r>
    <x v="0"/>
    <s v="朝霞市"/>
    <x v="33"/>
    <x v="4"/>
    <n v="38"/>
    <n v="1.88"/>
    <n v="1"/>
    <n v="0.15"/>
    <n v="37"/>
    <n v="2.71"/>
    <x v="0"/>
  </r>
  <r>
    <x v="0"/>
    <s v="朝霞市"/>
    <x v="33"/>
    <x v="5"/>
    <n v="33"/>
    <n v="1.63"/>
    <n v="1"/>
    <n v="0.15"/>
    <n v="32"/>
    <n v="2.34"/>
    <x v="0"/>
  </r>
  <r>
    <x v="0"/>
    <s v="朝霞市"/>
    <x v="33"/>
    <x v="6"/>
    <n v="304"/>
    <n v="15.01"/>
    <n v="102"/>
    <n v="15.53"/>
    <n v="202"/>
    <n v="14.8"/>
    <x v="0"/>
  </r>
  <r>
    <x v="0"/>
    <s v="朝霞市"/>
    <x v="33"/>
    <x v="7"/>
    <n v="7"/>
    <n v="0.35"/>
    <n v="0"/>
    <n v="0"/>
    <n v="7"/>
    <n v="0.51"/>
    <x v="0"/>
  </r>
  <r>
    <x v="0"/>
    <s v="朝霞市"/>
    <x v="33"/>
    <x v="8"/>
    <n v="258"/>
    <n v="12.74"/>
    <n v="6"/>
    <n v="0.91"/>
    <n v="251"/>
    <n v="18.39"/>
    <x v="0"/>
  </r>
  <r>
    <x v="0"/>
    <s v="朝霞市"/>
    <x v="33"/>
    <x v="9"/>
    <n v="80"/>
    <n v="3.95"/>
    <n v="32"/>
    <n v="4.87"/>
    <n v="48"/>
    <n v="3.52"/>
    <x v="0"/>
  </r>
  <r>
    <x v="0"/>
    <s v="朝霞市"/>
    <x v="33"/>
    <x v="10"/>
    <n v="190"/>
    <n v="9.3800000000000008"/>
    <n v="142"/>
    <n v="21.61"/>
    <n v="48"/>
    <n v="3.52"/>
    <x v="0"/>
  </r>
  <r>
    <x v="0"/>
    <s v="朝霞市"/>
    <x v="33"/>
    <x v="11"/>
    <n v="196"/>
    <n v="9.68"/>
    <n v="136"/>
    <n v="20.7"/>
    <n v="60"/>
    <n v="4.4000000000000004"/>
    <x v="0"/>
  </r>
  <r>
    <x v="0"/>
    <s v="朝霞市"/>
    <x v="33"/>
    <x v="12"/>
    <n v="83"/>
    <n v="4.0999999999999996"/>
    <n v="58"/>
    <n v="8.83"/>
    <n v="25"/>
    <n v="1.83"/>
    <x v="0"/>
  </r>
  <r>
    <x v="0"/>
    <s v="朝霞市"/>
    <x v="33"/>
    <x v="13"/>
    <n v="112"/>
    <n v="5.53"/>
    <n v="65"/>
    <n v="9.89"/>
    <n v="46"/>
    <n v="3.37"/>
    <x v="0"/>
  </r>
  <r>
    <x v="0"/>
    <s v="朝霞市"/>
    <x v="33"/>
    <x v="14"/>
    <n v="72"/>
    <n v="3.56"/>
    <n v="19"/>
    <n v="2.89"/>
    <n v="52"/>
    <n v="3.81"/>
    <x v="12"/>
  </r>
  <r>
    <x v="0"/>
    <s v="志木市"/>
    <x v="34"/>
    <x v="0"/>
    <n v="0"/>
    <n v="0"/>
    <n v="0"/>
    <n v="0"/>
    <n v="0"/>
    <n v="0"/>
    <x v="0"/>
  </r>
  <r>
    <x v="0"/>
    <s v="志木市"/>
    <x v="34"/>
    <x v="1"/>
    <n v="203"/>
    <n v="15.9"/>
    <n v="24"/>
    <n v="5.22"/>
    <n v="179"/>
    <n v="21.91"/>
    <x v="0"/>
  </r>
  <r>
    <x v="0"/>
    <s v="志木市"/>
    <x v="34"/>
    <x v="2"/>
    <n v="142"/>
    <n v="11.12"/>
    <n v="27"/>
    <n v="5.87"/>
    <n v="115"/>
    <n v="14.08"/>
    <x v="0"/>
  </r>
  <r>
    <x v="0"/>
    <s v="志木市"/>
    <x v="34"/>
    <x v="3"/>
    <n v="1"/>
    <n v="0.08"/>
    <n v="0"/>
    <n v="0"/>
    <n v="1"/>
    <n v="0.12"/>
    <x v="0"/>
  </r>
  <r>
    <x v="0"/>
    <s v="志木市"/>
    <x v="34"/>
    <x v="4"/>
    <n v="21"/>
    <n v="1.64"/>
    <n v="1"/>
    <n v="0.22"/>
    <n v="20"/>
    <n v="2.4500000000000002"/>
    <x v="0"/>
  </r>
  <r>
    <x v="0"/>
    <s v="志木市"/>
    <x v="34"/>
    <x v="5"/>
    <n v="17"/>
    <n v="1.33"/>
    <n v="1"/>
    <n v="0.22"/>
    <n v="16"/>
    <n v="1.96"/>
    <x v="0"/>
  </r>
  <r>
    <x v="0"/>
    <s v="志木市"/>
    <x v="34"/>
    <x v="6"/>
    <n v="227"/>
    <n v="17.78"/>
    <n v="68"/>
    <n v="14.78"/>
    <n v="159"/>
    <n v="19.46"/>
    <x v="0"/>
  </r>
  <r>
    <x v="0"/>
    <s v="志木市"/>
    <x v="34"/>
    <x v="7"/>
    <n v="6"/>
    <n v="0.47"/>
    <n v="0"/>
    <n v="0"/>
    <n v="6"/>
    <n v="0.73"/>
    <x v="0"/>
  </r>
  <r>
    <x v="0"/>
    <s v="志木市"/>
    <x v="34"/>
    <x v="8"/>
    <n v="213"/>
    <n v="16.68"/>
    <n v="72"/>
    <n v="15.65"/>
    <n v="141"/>
    <n v="17.260000000000002"/>
    <x v="0"/>
  </r>
  <r>
    <x v="0"/>
    <s v="志木市"/>
    <x v="34"/>
    <x v="9"/>
    <n v="77"/>
    <n v="6.03"/>
    <n v="31"/>
    <n v="6.74"/>
    <n v="46"/>
    <n v="5.63"/>
    <x v="0"/>
  </r>
  <r>
    <x v="0"/>
    <s v="志木市"/>
    <x v="34"/>
    <x v="10"/>
    <n v="86"/>
    <n v="6.73"/>
    <n v="61"/>
    <n v="13.26"/>
    <n v="25"/>
    <n v="3.06"/>
    <x v="0"/>
  </r>
  <r>
    <x v="0"/>
    <s v="志木市"/>
    <x v="34"/>
    <x v="11"/>
    <n v="140"/>
    <n v="10.96"/>
    <n v="99"/>
    <n v="21.52"/>
    <n v="41"/>
    <n v="5.0199999999999996"/>
    <x v="0"/>
  </r>
  <r>
    <x v="0"/>
    <s v="志木市"/>
    <x v="34"/>
    <x v="12"/>
    <n v="41"/>
    <n v="3.21"/>
    <n v="28"/>
    <n v="6.09"/>
    <n v="13"/>
    <n v="1.59"/>
    <x v="0"/>
  </r>
  <r>
    <x v="0"/>
    <s v="志木市"/>
    <x v="34"/>
    <x v="13"/>
    <n v="62"/>
    <n v="4.8600000000000003"/>
    <n v="40"/>
    <n v="8.6999999999999993"/>
    <n v="22"/>
    <n v="2.69"/>
    <x v="0"/>
  </r>
  <r>
    <x v="0"/>
    <s v="志木市"/>
    <x v="34"/>
    <x v="14"/>
    <n v="41"/>
    <n v="3.21"/>
    <n v="8"/>
    <n v="1.74"/>
    <n v="33"/>
    <n v="4.04"/>
    <x v="0"/>
  </r>
  <r>
    <x v="0"/>
    <s v="和光市"/>
    <x v="35"/>
    <x v="0"/>
    <n v="0"/>
    <n v="0"/>
    <n v="0"/>
    <n v="0"/>
    <n v="0"/>
    <n v="0"/>
    <x v="0"/>
  </r>
  <r>
    <x v="0"/>
    <s v="和光市"/>
    <x v="35"/>
    <x v="1"/>
    <n v="217"/>
    <n v="20.51"/>
    <n v="27"/>
    <n v="10.42"/>
    <n v="190"/>
    <n v="24.14"/>
    <x v="0"/>
  </r>
  <r>
    <x v="0"/>
    <s v="和光市"/>
    <x v="35"/>
    <x v="2"/>
    <n v="97"/>
    <n v="9.17"/>
    <n v="18"/>
    <n v="6.95"/>
    <n v="79"/>
    <n v="10.039999999999999"/>
    <x v="0"/>
  </r>
  <r>
    <x v="0"/>
    <s v="和光市"/>
    <x v="35"/>
    <x v="3"/>
    <n v="0"/>
    <n v="0"/>
    <n v="0"/>
    <n v="0"/>
    <n v="0"/>
    <n v="0"/>
    <x v="0"/>
  </r>
  <r>
    <x v="0"/>
    <s v="和光市"/>
    <x v="35"/>
    <x v="4"/>
    <n v="38"/>
    <n v="3.59"/>
    <n v="3"/>
    <n v="1.1599999999999999"/>
    <n v="35"/>
    <n v="4.45"/>
    <x v="0"/>
  </r>
  <r>
    <x v="0"/>
    <s v="和光市"/>
    <x v="35"/>
    <x v="5"/>
    <n v="14"/>
    <n v="1.32"/>
    <n v="1"/>
    <n v="0.39"/>
    <n v="13"/>
    <n v="1.65"/>
    <x v="0"/>
  </r>
  <r>
    <x v="0"/>
    <s v="和光市"/>
    <x v="35"/>
    <x v="6"/>
    <n v="177"/>
    <n v="16.73"/>
    <n v="52"/>
    <n v="20.079999999999998"/>
    <n v="125"/>
    <n v="15.88"/>
    <x v="0"/>
  </r>
  <r>
    <x v="0"/>
    <s v="和光市"/>
    <x v="35"/>
    <x v="7"/>
    <n v="8"/>
    <n v="0.76"/>
    <n v="1"/>
    <n v="0.39"/>
    <n v="7"/>
    <n v="0.89"/>
    <x v="0"/>
  </r>
  <r>
    <x v="0"/>
    <s v="和光市"/>
    <x v="35"/>
    <x v="8"/>
    <n v="156"/>
    <n v="14.74"/>
    <n v="7"/>
    <n v="2.7"/>
    <n v="146"/>
    <n v="18.55"/>
    <x v="12"/>
  </r>
  <r>
    <x v="0"/>
    <s v="和光市"/>
    <x v="35"/>
    <x v="9"/>
    <n v="82"/>
    <n v="7.75"/>
    <n v="20"/>
    <n v="7.72"/>
    <n v="61"/>
    <n v="7.75"/>
    <x v="12"/>
  </r>
  <r>
    <x v="0"/>
    <s v="和光市"/>
    <x v="35"/>
    <x v="10"/>
    <n v="62"/>
    <n v="5.86"/>
    <n v="38"/>
    <n v="14.67"/>
    <n v="24"/>
    <n v="3.05"/>
    <x v="0"/>
  </r>
  <r>
    <x v="0"/>
    <s v="和光市"/>
    <x v="35"/>
    <x v="11"/>
    <n v="88"/>
    <n v="8.32"/>
    <n v="49"/>
    <n v="18.920000000000002"/>
    <n v="38"/>
    <n v="4.83"/>
    <x v="12"/>
  </r>
  <r>
    <x v="0"/>
    <s v="和光市"/>
    <x v="35"/>
    <x v="12"/>
    <n v="38"/>
    <n v="3.59"/>
    <n v="19"/>
    <n v="7.34"/>
    <n v="18"/>
    <n v="2.29"/>
    <x v="0"/>
  </r>
  <r>
    <x v="0"/>
    <s v="和光市"/>
    <x v="35"/>
    <x v="13"/>
    <n v="39"/>
    <n v="3.69"/>
    <n v="20"/>
    <n v="7.72"/>
    <n v="19"/>
    <n v="2.41"/>
    <x v="0"/>
  </r>
  <r>
    <x v="0"/>
    <s v="和光市"/>
    <x v="35"/>
    <x v="14"/>
    <n v="42"/>
    <n v="3.97"/>
    <n v="4"/>
    <n v="1.54"/>
    <n v="32"/>
    <n v="4.07"/>
    <x v="7"/>
  </r>
  <r>
    <x v="0"/>
    <s v="新座市"/>
    <x v="36"/>
    <x v="0"/>
    <n v="0"/>
    <n v="0"/>
    <n v="0"/>
    <n v="0"/>
    <n v="0"/>
    <n v="0"/>
    <x v="0"/>
  </r>
  <r>
    <x v="0"/>
    <s v="新座市"/>
    <x v="36"/>
    <x v="1"/>
    <n v="671"/>
    <n v="24.71"/>
    <n v="88"/>
    <n v="9.93"/>
    <n v="583"/>
    <n v="32.03"/>
    <x v="0"/>
  </r>
  <r>
    <x v="0"/>
    <s v="新座市"/>
    <x v="36"/>
    <x v="2"/>
    <n v="297"/>
    <n v="10.94"/>
    <n v="55"/>
    <n v="6.21"/>
    <n v="242"/>
    <n v="13.3"/>
    <x v="0"/>
  </r>
  <r>
    <x v="0"/>
    <s v="新座市"/>
    <x v="36"/>
    <x v="3"/>
    <n v="1"/>
    <n v="0.04"/>
    <n v="0"/>
    <n v="0"/>
    <n v="0"/>
    <n v="0"/>
    <x v="0"/>
  </r>
  <r>
    <x v="0"/>
    <s v="新座市"/>
    <x v="36"/>
    <x v="4"/>
    <n v="45"/>
    <n v="1.66"/>
    <n v="3"/>
    <n v="0.34"/>
    <n v="42"/>
    <n v="2.31"/>
    <x v="0"/>
  </r>
  <r>
    <x v="0"/>
    <s v="新座市"/>
    <x v="36"/>
    <x v="5"/>
    <n v="42"/>
    <n v="1.55"/>
    <n v="2"/>
    <n v="0.23"/>
    <n v="40"/>
    <n v="2.2000000000000002"/>
    <x v="0"/>
  </r>
  <r>
    <x v="0"/>
    <s v="新座市"/>
    <x v="36"/>
    <x v="6"/>
    <n v="469"/>
    <n v="17.27"/>
    <n v="175"/>
    <n v="19.75"/>
    <n v="294"/>
    <n v="16.149999999999999"/>
    <x v="0"/>
  </r>
  <r>
    <x v="0"/>
    <s v="新座市"/>
    <x v="36"/>
    <x v="7"/>
    <n v="14"/>
    <n v="0.52"/>
    <n v="0"/>
    <n v="0"/>
    <n v="14"/>
    <n v="0.77"/>
    <x v="0"/>
  </r>
  <r>
    <x v="0"/>
    <s v="新座市"/>
    <x v="36"/>
    <x v="8"/>
    <n v="282"/>
    <n v="10.39"/>
    <n v="40"/>
    <n v="4.51"/>
    <n v="242"/>
    <n v="13.3"/>
    <x v="0"/>
  </r>
  <r>
    <x v="0"/>
    <s v="新座市"/>
    <x v="36"/>
    <x v="9"/>
    <n v="131"/>
    <n v="4.83"/>
    <n v="50"/>
    <n v="5.64"/>
    <n v="81"/>
    <n v="4.45"/>
    <x v="0"/>
  </r>
  <r>
    <x v="0"/>
    <s v="新座市"/>
    <x v="36"/>
    <x v="10"/>
    <n v="179"/>
    <n v="6.59"/>
    <n v="126"/>
    <n v="14.22"/>
    <n v="53"/>
    <n v="2.91"/>
    <x v="0"/>
  </r>
  <r>
    <x v="0"/>
    <s v="新座市"/>
    <x v="36"/>
    <x v="11"/>
    <n v="275"/>
    <n v="10.130000000000001"/>
    <n v="194"/>
    <n v="21.9"/>
    <n v="81"/>
    <n v="4.45"/>
    <x v="0"/>
  </r>
  <r>
    <x v="0"/>
    <s v="新座市"/>
    <x v="36"/>
    <x v="12"/>
    <n v="94"/>
    <n v="3.46"/>
    <n v="53"/>
    <n v="5.98"/>
    <n v="37"/>
    <n v="2.0299999999999998"/>
    <x v="0"/>
  </r>
  <r>
    <x v="0"/>
    <s v="新座市"/>
    <x v="36"/>
    <x v="13"/>
    <n v="126"/>
    <n v="4.6399999999999997"/>
    <n v="79"/>
    <n v="8.92"/>
    <n v="45"/>
    <n v="2.4700000000000002"/>
    <x v="0"/>
  </r>
  <r>
    <x v="0"/>
    <s v="新座市"/>
    <x v="36"/>
    <x v="14"/>
    <n v="89"/>
    <n v="3.28"/>
    <n v="21"/>
    <n v="2.37"/>
    <n v="66"/>
    <n v="3.63"/>
    <x v="0"/>
  </r>
  <r>
    <x v="0"/>
    <s v="桶川市"/>
    <x v="37"/>
    <x v="0"/>
    <n v="0"/>
    <n v="0"/>
    <n v="0"/>
    <n v="0"/>
    <n v="0"/>
    <n v="0"/>
    <x v="0"/>
  </r>
  <r>
    <x v="0"/>
    <s v="桶川市"/>
    <x v="37"/>
    <x v="1"/>
    <n v="198"/>
    <n v="15.31"/>
    <n v="54"/>
    <n v="9.26"/>
    <n v="144"/>
    <n v="20.51"/>
    <x v="0"/>
  </r>
  <r>
    <x v="0"/>
    <s v="桶川市"/>
    <x v="37"/>
    <x v="2"/>
    <n v="95"/>
    <n v="7.35"/>
    <n v="22"/>
    <n v="3.77"/>
    <n v="73"/>
    <n v="10.4"/>
    <x v="0"/>
  </r>
  <r>
    <x v="0"/>
    <s v="桶川市"/>
    <x v="37"/>
    <x v="3"/>
    <n v="0"/>
    <n v="0"/>
    <n v="0"/>
    <n v="0"/>
    <n v="0"/>
    <n v="0"/>
    <x v="0"/>
  </r>
  <r>
    <x v="0"/>
    <s v="桶川市"/>
    <x v="37"/>
    <x v="4"/>
    <n v="13"/>
    <n v="1.01"/>
    <n v="0"/>
    <n v="0"/>
    <n v="13"/>
    <n v="1.85"/>
    <x v="0"/>
  </r>
  <r>
    <x v="0"/>
    <s v="桶川市"/>
    <x v="37"/>
    <x v="5"/>
    <n v="15"/>
    <n v="1.1599999999999999"/>
    <n v="2"/>
    <n v="0.34"/>
    <n v="13"/>
    <n v="1.85"/>
    <x v="0"/>
  </r>
  <r>
    <x v="0"/>
    <s v="桶川市"/>
    <x v="37"/>
    <x v="6"/>
    <n v="251"/>
    <n v="19.41"/>
    <n v="85"/>
    <n v="14.58"/>
    <n v="166"/>
    <n v="23.65"/>
    <x v="0"/>
  </r>
  <r>
    <x v="0"/>
    <s v="桶川市"/>
    <x v="37"/>
    <x v="7"/>
    <n v="7"/>
    <n v="0.54"/>
    <n v="2"/>
    <n v="0.34"/>
    <n v="5"/>
    <n v="0.71"/>
    <x v="0"/>
  </r>
  <r>
    <x v="0"/>
    <s v="桶川市"/>
    <x v="37"/>
    <x v="8"/>
    <n v="160"/>
    <n v="12.37"/>
    <n v="42"/>
    <n v="7.2"/>
    <n v="118"/>
    <n v="16.809999999999999"/>
    <x v="0"/>
  </r>
  <r>
    <x v="0"/>
    <s v="桶川市"/>
    <x v="37"/>
    <x v="9"/>
    <n v="67"/>
    <n v="5.18"/>
    <n v="33"/>
    <n v="5.66"/>
    <n v="31"/>
    <n v="4.42"/>
    <x v="12"/>
  </r>
  <r>
    <x v="0"/>
    <s v="桶川市"/>
    <x v="37"/>
    <x v="10"/>
    <n v="114"/>
    <n v="8.82"/>
    <n v="87"/>
    <n v="14.92"/>
    <n v="27"/>
    <n v="3.85"/>
    <x v="0"/>
  </r>
  <r>
    <x v="0"/>
    <s v="桶川市"/>
    <x v="37"/>
    <x v="11"/>
    <n v="200"/>
    <n v="15.47"/>
    <n v="158"/>
    <n v="27.1"/>
    <n v="42"/>
    <n v="5.98"/>
    <x v="0"/>
  </r>
  <r>
    <x v="0"/>
    <s v="桶川市"/>
    <x v="37"/>
    <x v="12"/>
    <n v="77"/>
    <n v="5.96"/>
    <n v="45"/>
    <n v="7.72"/>
    <n v="28"/>
    <n v="3.99"/>
    <x v="12"/>
  </r>
  <r>
    <x v="0"/>
    <s v="桶川市"/>
    <x v="37"/>
    <x v="13"/>
    <n v="50"/>
    <n v="3.87"/>
    <n v="36"/>
    <n v="6.17"/>
    <n v="14"/>
    <n v="1.99"/>
    <x v="0"/>
  </r>
  <r>
    <x v="0"/>
    <s v="桶川市"/>
    <x v="37"/>
    <x v="14"/>
    <n v="46"/>
    <n v="3.56"/>
    <n v="17"/>
    <n v="2.92"/>
    <n v="28"/>
    <n v="3.99"/>
    <x v="12"/>
  </r>
  <r>
    <x v="0"/>
    <s v="久喜市"/>
    <x v="38"/>
    <x v="0"/>
    <n v="0"/>
    <n v="0"/>
    <n v="0"/>
    <n v="0"/>
    <n v="0"/>
    <n v="0"/>
    <x v="0"/>
  </r>
  <r>
    <x v="0"/>
    <s v="久喜市"/>
    <x v="38"/>
    <x v="1"/>
    <n v="417"/>
    <n v="16.190000000000001"/>
    <n v="116"/>
    <n v="9.27"/>
    <n v="301"/>
    <n v="23.03"/>
    <x v="0"/>
  </r>
  <r>
    <x v="0"/>
    <s v="久喜市"/>
    <x v="38"/>
    <x v="2"/>
    <n v="211"/>
    <n v="8.19"/>
    <n v="62"/>
    <n v="4.95"/>
    <n v="149"/>
    <n v="11.4"/>
    <x v="0"/>
  </r>
  <r>
    <x v="0"/>
    <s v="久喜市"/>
    <x v="38"/>
    <x v="3"/>
    <n v="3"/>
    <n v="0.12"/>
    <n v="0"/>
    <n v="0"/>
    <n v="3"/>
    <n v="0.23"/>
    <x v="0"/>
  </r>
  <r>
    <x v="0"/>
    <s v="久喜市"/>
    <x v="38"/>
    <x v="4"/>
    <n v="17"/>
    <n v="0.66"/>
    <n v="0"/>
    <n v="0"/>
    <n v="17"/>
    <n v="1.3"/>
    <x v="0"/>
  </r>
  <r>
    <x v="0"/>
    <s v="久喜市"/>
    <x v="38"/>
    <x v="5"/>
    <n v="28"/>
    <n v="1.0900000000000001"/>
    <n v="3"/>
    <n v="0.24"/>
    <n v="25"/>
    <n v="1.91"/>
    <x v="0"/>
  </r>
  <r>
    <x v="0"/>
    <s v="久喜市"/>
    <x v="38"/>
    <x v="6"/>
    <n v="605"/>
    <n v="23.49"/>
    <n v="246"/>
    <n v="19.649999999999999"/>
    <n v="359"/>
    <n v="27.47"/>
    <x v="0"/>
  </r>
  <r>
    <x v="0"/>
    <s v="久喜市"/>
    <x v="38"/>
    <x v="7"/>
    <n v="13"/>
    <n v="0.5"/>
    <n v="3"/>
    <n v="0.24"/>
    <n v="10"/>
    <n v="0.77"/>
    <x v="0"/>
  </r>
  <r>
    <x v="0"/>
    <s v="久喜市"/>
    <x v="38"/>
    <x v="8"/>
    <n v="246"/>
    <n v="9.5500000000000007"/>
    <n v="102"/>
    <n v="8.15"/>
    <n v="144"/>
    <n v="11.02"/>
    <x v="0"/>
  </r>
  <r>
    <x v="0"/>
    <s v="久喜市"/>
    <x v="38"/>
    <x v="9"/>
    <n v="111"/>
    <n v="4.3099999999999996"/>
    <n v="52"/>
    <n v="4.1500000000000004"/>
    <n v="59"/>
    <n v="4.51"/>
    <x v="0"/>
  </r>
  <r>
    <x v="0"/>
    <s v="久喜市"/>
    <x v="38"/>
    <x v="10"/>
    <n v="190"/>
    <n v="7.38"/>
    <n v="153"/>
    <n v="12.22"/>
    <n v="36"/>
    <n v="2.75"/>
    <x v="0"/>
  </r>
  <r>
    <x v="0"/>
    <s v="久喜市"/>
    <x v="38"/>
    <x v="11"/>
    <n v="377"/>
    <n v="14.64"/>
    <n v="293"/>
    <n v="23.4"/>
    <n v="84"/>
    <n v="6.43"/>
    <x v="0"/>
  </r>
  <r>
    <x v="0"/>
    <s v="久喜市"/>
    <x v="38"/>
    <x v="12"/>
    <n v="104"/>
    <n v="4.04"/>
    <n v="76"/>
    <n v="6.07"/>
    <n v="22"/>
    <n v="1.68"/>
    <x v="0"/>
  </r>
  <r>
    <x v="0"/>
    <s v="久喜市"/>
    <x v="38"/>
    <x v="13"/>
    <n v="153"/>
    <n v="5.94"/>
    <n v="97"/>
    <n v="7.75"/>
    <n v="51"/>
    <n v="3.9"/>
    <x v="0"/>
  </r>
  <r>
    <x v="0"/>
    <s v="久喜市"/>
    <x v="38"/>
    <x v="14"/>
    <n v="101"/>
    <n v="3.92"/>
    <n v="49"/>
    <n v="3.91"/>
    <n v="47"/>
    <n v="3.6"/>
    <x v="0"/>
  </r>
  <r>
    <x v="0"/>
    <s v="北本市"/>
    <x v="39"/>
    <x v="0"/>
    <n v="0"/>
    <n v="0"/>
    <n v="0"/>
    <n v="0"/>
    <n v="0"/>
    <n v="0"/>
    <x v="0"/>
  </r>
  <r>
    <x v="0"/>
    <s v="北本市"/>
    <x v="39"/>
    <x v="1"/>
    <n v="178"/>
    <n v="15.74"/>
    <n v="42"/>
    <n v="7.82"/>
    <n v="136"/>
    <n v="23.01"/>
    <x v="0"/>
  </r>
  <r>
    <x v="0"/>
    <s v="北本市"/>
    <x v="39"/>
    <x v="2"/>
    <n v="102"/>
    <n v="9.02"/>
    <n v="27"/>
    <n v="5.03"/>
    <n v="75"/>
    <n v="12.69"/>
    <x v="0"/>
  </r>
  <r>
    <x v="0"/>
    <s v="北本市"/>
    <x v="39"/>
    <x v="3"/>
    <n v="0"/>
    <n v="0"/>
    <n v="0"/>
    <n v="0"/>
    <n v="0"/>
    <n v="0"/>
    <x v="0"/>
  </r>
  <r>
    <x v="0"/>
    <s v="北本市"/>
    <x v="39"/>
    <x v="4"/>
    <n v="12"/>
    <n v="1.06"/>
    <n v="0"/>
    <n v="0"/>
    <n v="12"/>
    <n v="2.0299999999999998"/>
    <x v="0"/>
  </r>
  <r>
    <x v="0"/>
    <s v="北本市"/>
    <x v="39"/>
    <x v="5"/>
    <n v="7"/>
    <n v="0.62"/>
    <n v="0"/>
    <n v="0"/>
    <n v="6"/>
    <n v="1.02"/>
    <x v="0"/>
  </r>
  <r>
    <x v="0"/>
    <s v="北本市"/>
    <x v="39"/>
    <x v="6"/>
    <n v="222"/>
    <n v="19.63"/>
    <n v="99"/>
    <n v="18.440000000000001"/>
    <n v="123"/>
    <n v="20.81"/>
    <x v="0"/>
  </r>
  <r>
    <x v="0"/>
    <s v="北本市"/>
    <x v="39"/>
    <x v="7"/>
    <n v="6"/>
    <n v="0.53"/>
    <n v="1"/>
    <n v="0.19"/>
    <n v="5"/>
    <n v="0.85"/>
    <x v="0"/>
  </r>
  <r>
    <x v="0"/>
    <s v="北本市"/>
    <x v="39"/>
    <x v="8"/>
    <n v="116"/>
    <n v="10.26"/>
    <n v="31"/>
    <n v="5.77"/>
    <n v="84"/>
    <n v="14.21"/>
    <x v="0"/>
  </r>
  <r>
    <x v="0"/>
    <s v="北本市"/>
    <x v="39"/>
    <x v="9"/>
    <n v="56"/>
    <n v="4.95"/>
    <n v="28"/>
    <n v="5.21"/>
    <n v="28"/>
    <n v="4.74"/>
    <x v="0"/>
  </r>
  <r>
    <x v="0"/>
    <s v="北本市"/>
    <x v="39"/>
    <x v="10"/>
    <n v="95"/>
    <n v="8.4"/>
    <n v="73"/>
    <n v="13.59"/>
    <n v="22"/>
    <n v="3.72"/>
    <x v="0"/>
  </r>
  <r>
    <x v="0"/>
    <s v="北本市"/>
    <x v="39"/>
    <x v="11"/>
    <n v="176"/>
    <n v="15.56"/>
    <n v="135"/>
    <n v="25.14"/>
    <n v="41"/>
    <n v="6.94"/>
    <x v="0"/>
  </r>
  <r>
    <x v="0"/>
    <s v="北本市"/>
    <x v="39"/>
    <x v="12"/>
    <n v="48"/>
    <n v="4.24"/>
    <n v="33"/>
    <n v="6.15"/>
    <n v="15"/>
    <n v="2.54"/>
    <x v="0"/>
  </r>
  <r>
    <x v="0"/>
    <s v="北本市"/>
    <x v="39"/>
    <x v="13"/>
    <n v="74"/>
    <n v="6.54"/>
    <n v="51"/>
    <n v="9.5"/>
    <n v="23"/>
    <n v="3.89"/>
    <x v="0"/>
  </r>
  <r>
    <x v="0"/>
    <s v="北本市"/>
    <x v="39"/>
    <x v="14"/>
    <n v="39"/>
    <n v="3.45"/>
    <n v="17"/>
    <n v="3.17"/>
    <n v="21"/>
    <n v="3.55"/>
    <x v="12"/>
  </r>
  <r>
    <x v="0"/>
    <s v="八潮市"/>
    <x v="40"/>
    <x v="0"/>
    <n v="0"/>
    <n v="0"/>
    <n v="0"/>
    <n v="0"/>
    <n v="0"/>
    <n v="0"/>
    <x v="0"/>
  </r>
  <r>
    <x v="0"/>
    <s v="八潮市"/>
    <x v="40"/>
    <x v="1"/>
    <n v="450"/>
    <n v="16.97"/>
    <n v="88"/>
    <n v="9.5500000000000007"/>
    <n v="362"/>
    <n v="21.01"/>
    <x v="0"/>
  </r>
  <r>
    <x v="0"/>
    <s v="八潮市"/>
    <x v="40"/>
    <x v="2"/>
    <n v="884"/>
    <n v="33.35"/>
    <n v="225"/>
    <n v="24.43"/>
    <n v="659"/>
    <n v="38.25"/>
    <x v="0"/>
  </r>
  <r>
    <x v="0"/>
    <s v="八潮市"/>
    <x v="40"/>
    <x v="3"/>
    <n v="2"/>
    <n v="0.08"/>
    <n v="0"/>
    <n v="0"/>
    <n v="2"/>
    <n v="0.12"/>
    <x v="0"/>
  </r>
  <r>
    <x v="0"/>
    <s v="八潮市"/>
    <x v="40"/>
    <x v="4"/>
    <n v="18"/>
    <n v="0.68"/>
    <n v="1"/>
    <n v="0.11"/>
    <n v="17"/>
    <n v="0.99"/>
    <x v="0"/>
  </r>
  <r>
    <x v="0"/>
    <s v="八潮市"/>
    <x v="40"/>
    <x v="5"/>
    <n v="45"/>
    <n v="1.7"/>
    <n v="6"/>
    <n v="0.65"/>
    <n v="39"/>
    <n v="2.2599999999999998"/>
    <x v="0"/>
  </r>
  <r>
    <x v="0"/>
    <s v="八潮市"/>
    <x v="40"/>
    <x v="6"/>
    <n v="394"/>
    <n v="14.86"/>
    <n v="135"/>
    <n v="14.66"/>
    <n v="259"/>
    <n v="15.03"/>
    <x v="0"/>
  </r>
  <r>
    <x v="0"/>
    <s v="八潮市"/>
    <x v="40"/>
    <x v="7"/>
    <n v="7"/>
    <n v="0.26"/>
    <n v="0"/>
    <n v="0"/>
    <n v="7"/>
    <n v="0.41"/>
    <x v="0"/>
  </r>
  <r>
    <x v="0"/>
    <s v="八潮市"/>
    <x v="40"/>
    <x v="8"/>
    <n v="258"/>
    <n v="9.73"/>
    <n v="105"/>
    <n v="11.4"/>
    <n v="152"/>
    <n v="8.82"/>
    <x v="0"/>
  </r>
  <r>
    <x v="0"/>
    <s v="八潮市"/>
    <x v="40"/>
    <x v="9"/>
    <n v="62"/>
    <n v="2.34"/>
    <n v="27"/>
    <n v="2.93"/>
    <n v="35"/>
    <n v="2.0299999999999998"/>
    <x v="0"/>
  </r>
  <r>
    <x v="0"/>
    <s v="八潮市"/>
    <x v="40"/>
    <x v="10"/>
    <n v="137"/>
    <n v="5.17"/>
    <n v="111"/>
    <n v="12.05"/>
    <n v="26"/>
    <n v="1.51"/>
    <x v="0"/>
  </r>
  <r>
    <x v="0"/>
    <s v="八潮市"/>
    <x v="40"/>
    <x v="11"/>
    <n v="172"/>
    <n v="6.49"/>
    <n v="133"/>
    <n v="14.44"/>
    <n v="37"/>
    <n v="2.15"/>
    <x v="0"/>
  </r>
  <r>
    <x v="0"/>
    <s v="八潮市"/>
    <x v="40"/>
    <x v="12"/>
    <n v="39"/>
    <n v="1.47"/>
    <n v="25"/>
    <n v="2.71"/>
    <n v="14"/>
    <n v="0.81"/>
    <x v="0"/>
  </r>
  <r>
    <x v="0"/>
    <s v="八潮市"/>
    <x v="40"/>
    <x v="13"/>
    <n v="73"/>
    <n v="2.75"/>
    <n v="37"/>
    <n v="4.0199999999999996"/>
    <n v="33"/>
    <n v="1.92"/>
    <x v="0"/>
  </r>
  <r>
    <x v="0"/>
    <s v="八潮市"/>
    <x v="40"/>
    <x v="14"/>
    <n v="110"/>
    <n v="4.1500000000000004"/>
    <n v="28"/>
    <n v="3.04"/>
    <n v="81"/>
    <n v="4.7"/>
    <x v="0"/>
  </r>
  <r>
    <x v="0"/>
    <s v="富士見市"/>
    <x v="41"/>
    <x v="0"/>
    <n v="0"/>
    <n v="0"/>
    <n v="0"/>
    <n v="0"/>
    <n v="0"/>
    <n v="0"/>
    <x v="0"/>
  </r>
  <r>
    <x v="0"/>
    <s v="富士見市"/>
    <x v="41"/>
    <x v="1"/>
    <n v="247"/>
    <n v="14.87"/>
    <n v="51"/>
    <n v="6.95"/>
    <n v="196"/>
    <n v="21.26"/>
    <x v="0"/>
  </r>
  <r>
    <x v="0"/>
    <s v="富士見市"/>
    <x v="41"/>
    <x v="2"/>
    <n v="106"/>
    <n v="6.38"/>
    <n v="28"/>
    <n v="3.81"/>
    <n v="78"/>
    <n v="8.4600000000000009"/>
    <x v="0"/>
  </r>
  <r>
    <x v="0"/>
    <s v="富士見市"/>
    <x v="41"/>
    <x v="3"/>
    <n v="0"/>
    <n v="0"/>
    <n v="0"/>
    <n v="0"/>
    <n v="0"/>
    <n v="0"/>
    <x v="0"/>
  </r>
  <r>
    <x v="0"/>
    <s v="富士見市"/>
    <x v="41"/>
    <x v="4"/>
    <n v="20"/>
    <n v="1.2"/>
    <n v="1"/>
    <n v="0.14000000000000001"/>
    <n v="19"/>
    <n v="2.06"/>
    <x v="0"/>
  </r>
  <r>
    <x v="0"/>
    <s v="富士見市"/>
    <x v="41"/>
    <x v="5"/>
    <n v="16"/>
    <n v="0.96"/>
    <n v="3"/>
    <n v="0.41"/>
    <n v="13"/>
    <n v="1.41"/>
    <x v="0"/>
  </r>
  <r>
    <x v="0"/>
    <s v="富士見市"/>
    <x v="41"/>
    <x v="6"/>
    <n v="293"/>
    <n v="17.64"/>
    <n v="109"/>
    <n v="14.85"/>
    <n v="184"/>
    <n v="19.96"/>
    <x v="0"/>
  </r>
  <r>
    <x v="0"/>
    <s v="富士見市"/>
    <x v="41"/>
    <x v="7"/>
    <n v="8"/>
    <n v="0.48"/>
    <n v="0"/>
    <n v="0"/>
    <n v="8"/>
    <n v="0.87"/>
    <x v="0"/>
  </r>
  <r>
    <x v="0"/>
    <s v="富士見市"/>
    <x v="41"/>
    <x v="8"/>
    <n v="261"/>
    <n v="15.71"/>
    <n v="69"/>
    <n v="9.4"/>
    <n v="192"/>
    <n v="20.82"/>
    <x v="0"/>
  </r>
  <r>
    <x v="0"/>
    <s v="富士見市"/>
    <x v="41"/>
    <x v="9"/>
    <n v="75"/>
    <n v="4.5199999999999996"/>
    <n v="28"/>
    <n v="3.81"/>
    <n v="47"/>
    <n v="5.0999999999999996"/>
    <x v="0"/>
  </r>
  <r>
    <x v="0"/>
    <s v="富士見市"/>
    <x v="41"/>
    <x v="10"/>
    <n v="193"/>
    <n v="11.62"/>
    <n v="154"/>
    <n v="20.98"/>
    <n v="39"/>
    <n v="4.2300000000000004"/>
    <x v="0"/>
  </r>
  <r>
    <x v="0"/>
    <s v="富士見市"/>
    <x v="41"/>
    <x v="11"/>
    <n v="246"/>
    <n v="14.81"/>
    <n v="178"/>
    <n v="24.25"/>
    <n v="68"/>
    <n v="7.38"/>
    <x v="0"/>
  </r>
  <r>
    <x v="0"/>
    <s v="富士見市"/>
    <x v="41"/>
    <x v="12"/>
    <n v="64"/>
    <n v="3.85"/>
    <n v="44"/>
    <n v="5.99"/>
    <n v="17"/>
    <n v="1.84"/>
    <x v="0"/>
  </r>
  <r>
    <x v="0"/>
    <s v="富士見市"/>
    <x v="41"/>
    <x v="13"/>
    <n v="80"/>
    <n v="4.82"/>
    <n v="55"/>
    <n v="7.49"/>
    <n v="25"/>
    <n v="2.71"/>
    <x v="0"/>
  </r>
  <r>
    <x v="0"/>
    <s v="富士見市"/>
    <x v="41"/>
    <x v="14"/>
    <n v="52"/>
    <n v="3.13"/>
    <n v="14"/>
    <n v="1.91"/>
    <n v="36"/>
    <n v="3.9"/>
    <x v="0"/>
  </r>
  <r>
    <x v="0"/>
    <s v="三郷市"/>
    <x v="42"/>
    <x v="0"/>
    <n v="0"/>
    <n v="0"/>
    <n v="0"/>
    <n v="0"/>
    <n v="0"/>
    <n v="0"/>
    <x v="0"/>
  </r>
  <r>
    <x v="0"/>
    <s v="三郷市"/>
    <x v="42"/>
    <x v="1"/>
    <n v="518"/>
    <n v="16.8"/>
    <n v="89"/>
    <n v="7.28"/>
    <n v="428"/>
    <n v="23.2"/>
    <x v="12"/>
  </r>
  <r>
    <x v="0"/>
    <s v="三郷市"/>
    <x v="42"/>
    <x v="2"/>
    <n v="772"/>
    <n v="25.03"/>
    <n v="266"/>
    <n v="21.75"/>
    <n v="506"/>
    <n v="27.43"/>
    <x v="0"/>
  </r>
  <r>
    <x v="0"/>
    <s v="三郷市"/>
    <x v="42"/>
    <x v="3"/>
    <n v="2"/>
    <n v="0.06"/>
    <n v="0"/>
    <n v="0"/>
    <n v="2"/>
    <n v="0.11"/>
    <x v="0"/>
  </r>
  <r>
    <x v="0"/>
    <s v="三郷市"/>
    <x v="42"/>
    <x v="4"/>
    <n v="25"/>
    <n v="0.81"/>
    <n v="0"/>
    <n v="0"/>
    <n v="25"/>
    <n v="1.36"/>
    <x v="0"/>
  </r>
  <r>
    <x v="0"/>
    <s v="三郷市"/>
    <x v="42"/>
    <x v="5"/>
    <n v="44"/>
    <n v="1.43"/>
    <n v="3"/>
    <n v="0.25"/>
    <n v="41"/>
    <n v="2.2200000000000002"/>
    <x v="0"/>
  </r>
  <r>
    <x v="0"/>
    <s v="三郷市"/>
    <x v="42"/>
    <x v="6"/>
    <n v="485"/>
    <n v="15.73"/>
    <n v="165"/>
    <n v="13.49"/>
    <n v="319"/>
    <n v="17.29"/>
    <x v="12"/>
  </r>
  <r>
    <x v="0"/>
    <s v="三郷市"/>
    <x v="42"/>
    <x v="7"/>
    <n v="17"/>
    <n v="0.55000000000000004"/>
    <n v="3"/>
    <n v="0.25"/>
    <n v="14"/>
    <n v="0.76"/>
    <x v="0"/>
  </r>
  <r>
    <x v="0"/>
    <s v="三郷市"/>
    <x v="42"/>
    <x v="8"/>
    <n v="414"/>
    <n v="13.42"/>
    <n v="172"/>
    <n v="14.06"/>
    <n v="242"/>
    <n v="13.12"/>
    <x v="0"/>
  </r>
  <r>
    <x v="0"/>
    <s v="三郷市"/>
    <x v="42"/>
    <x v="9"/>
    <n v="93"/>
    <n v="3.02"/>
    <n v="34"/>
    <n v="2.78"/>
    <n v="58"/>
    <n v="3.14"/>
    <x v="0"/>
  </r>
  <r>
    <x v="0"/>
    <s v="三郷市"/>
    <x v="42"/>
    <x v="10"/>
    <n v="202"/>
    <n v="6.55"/>
    <n v="165"/>
    <n v="13.49"/>
    <n v="35"/>
    <n v="1.9"/>
    <x v="0"/>
  </r>
  <r>
    <x v="0"/>
    <s v="三郷市"/>
    <x v="42"/>
    <x v="11"/>
    <n v="243"/>
    <n v="7.88"/>
    <n v="185"/>
    <n v="15.13"/>
    <n v="58"/>
    <n v="3.14"/>
    <x v="0"/>
  </r>
  <r>
    <x v="0"/>
    <s v="三郷市"/>
    <x v="42"/>
    <x v="12"/>
    <n v="56"/>
    <n v="1.82"/>
    <n v="39"/>
    <n v="3.19"/>
    <n v="17"/>
    <n v="0.92"/>
    <x v="0"/>
  </r>
  <r>
    <x v="0"/>
    <s v="三郷市"/>
    <x v="42"/>
    <x v="13"/>
    <n v="84"/>
    <n v="2.72"/>
    <n v="50"/>
    <n v="4.09"/>
    <n v="28"/>
    <n v="1.52"/>
    <x v="0"/>
  </r>
  <r>
    <x v="0"/>
    <s v="三郷市"/>
    <x v="42"/>
    <x v="14"/>
    <n v="129"/>
    <n v="4.18"/>
    <n v="52"/>
    <n v="4.25"/>
    <n v="72"/>
    <n v="3.9"/>
    <x v="0"/>
  </r>
  <r>
    <x v="0"/>
    <s v="蓮田市"/>
    <x v="43"/>
    <x v="0"/>
    <n v="0"/>
    <n v="0"/>
    <n v="0"/>
    <n v="0"/>
    <n v="0"/>
    <n v="0"/>
    <x v="0"/>
  </r>
  <r>
    <x v="0"/>
    <s v="蓮田市"/>
    <x v="43"/>
    <x v="1"/>
    <n v="185"/>
    <n v="18.3"/>
    <n v="60"/>
    <n v="12.63"/>
    <n v="125"/>
    <n v="23.76"/>
    <x v="0"/>
  </r>
  <r>
    <x v="0"/>
    <s v="蓮田市"/>
    <x v="43"/>
    <x v="2"/>
    <n v="92"/>
    <n v="9.1"/>
    <n v="27"/>
    <n v="5.68"/>
    <n v="65"/>
    <n v="12.36"/>
    <x v="0"/>
  </r>
  <r>
    <x v="0"/>
    <s v="蓮田市"/>
    <x v="43"/>
    <x v="3"/>
    <n v="1"/>
    <n v="0.1"/>
    <n v="0"/>
    <n v="0"/>
    <n v="1"/>
    <n v="0.19"/>
    <x v="0"/>
  </r>
  <r>
    <x v="0"/>
    <s v="蓮田市"/>
    <x v="43"/>
    <x v="4"/>
    <n v="15"/>
    <n v="1.48"/>
    <n v="0"/>
    <n v="0"/>
    <n v="15"/>
    <n v="2.85"/>
    <x v="0"/>
  </r>
  <r>
    <x v="0"/>
    <s v="蓮田市"/>
    <x v="43"/>
    <x v="5"/>
    <n v="8"/>
    <n v="0.79"/>
    <n v="1"/>
    <n v="0.21"/>
    <n v="7"/>
    <n v="1.33"/>
    <x v="0"/>
  </r>
  <r>
    <x v="0"/>
    <s v="蓮田市"/>
    <x v="43"/>
    <x v="6"/>
    <n v="203"/>
    <n v="20.079999999999998"/>
    <n v="74"/>
    <n v="15.58"/>
    <n v="129"/>
    <n v="24.52"/>
    <x v="0"/>
  </r>
  <r>
    <x v="0"/>
    <s v="蓮田市"/>
    <x v="43"/>
    <x v="7"/>
    <n v="2"/>
    <n v="0.2"/>
    <n v="1"/>
    <n v="0.21"/>
    <n v="1"/>
    <n v="0.19"/>
    <x v="0"/>
  </r>
  <r>
    <x v="0"/>
    <s v="蓮田市"/>
    <x v="43"/>
    <x v="8"/>
    <n v="90"/>
    <n v="8.9"/>
    <n v="26"/>
    <n v="5.47"/>
    <n v="64"/>
    <n v="12.17"/>
    <x v="0"/>
  </r>
  <r>
    <x v="0"/>
    <s v="蓮田市"/>
    <x v="43"/>
    <x v="9"/>
    <n v="43"/>
    <n v="4.25"/>
    <n v="29"/>
    <n v="6.11"/>
    <n v="14"/>
    <n v="2.66"/>
    <x v="0"/>
  </r>
  <r>
    <x v="0"/>
    <s v="蓮田市"/>
    <x v="43"/>
    <x v="10"/>
    <n v="89"/>
    <n v="8.8000000000000007"/>
    <n v="70"/>
    <n v="14.74"/>
    <n v="19"/>
    <n v="3.61"/>
    <x v="0"/>
  </r>
  <r>
    <x v="0"/>
    <s v="蓮田市"/>
    <x v="43"/>
    <x v="11"/>
    <n v="137"/>
    <n v="13.55"/>
    <n v="100"/>
    <n v="21.05"/>
    <n v="36"/>
    <n v="6.84"/>
    <x v="0"/>
  </r>
  <r>
    <x v="0"/>
    <s v="蓮田市"/>
    <x v="43"/>
    <x v="12"/>
    <n v="48"/>
    <n v="4.75"/>
    <n v="36"/>
    <n v="7.58"/>
    <n v="10"/>
    <n v="1.9"/>
    <x v="12"/>
  </r>
  <r>
    <x v="0"/>
    <s v="蓮田市"/>
    <x v="43"/>
    <x v="13"/>
    <n v="57"/>
    <n v="5.64"/>
    <n v="35"/>
    <n v="7.37"/>
    <n v="17"/>
    <n v="3.23"/>
    <x v="0"/>
  </r>
  <r>
    <x v="0"/>
    <s v="蓮田市"/>
    <x v="43"/>
    <x v="14"/>
    <n v="41"/>
    <n v="4.0599999999999996"/>
    <n v="16"/>
    <n v="3.37"/>
    <n v="23"/>
    <n v="4.37"/>
    <x v="0"/>
  </r>
  <r>
    <x v="0"/>
    <s v="坂戸市"/>
    <x v="44"/>
    <x v="0"/>
    <n v="0"/>
    <n v="0"/>
    <n v="0"/>
    <n v="0"/>
    <n v="0"/>
    <n v="0"/>
    <x v="0"/>
  </r>
  <r>
    <x v="0"/>
    <s v="坂戸市"/>
    <x v="44"/>
    <x v="1"/>
    <n v="259"/>
    <n v="16.690000000000001"/>
    <n v="54"/>
    <n v="7.38"/>
    <n v="205"/>
    <n v="25.34"/>
    <x v="0"/>
  </r>
  <r>
    <x v="0"/>
    <s v="坂戸市"/>
    <x v="44"/>
    <x v="2"/>
    <n v="121"/>
    <n v="7.8"/>
    <n v="28"/>
    <n v="3.83"/>
    <n v="93"/>
    <n v="11.5"/>
    <x v="0"/>
  </r>
  <r>
    <x v="0"/>
    <s v="坂戸市"/>
    <x v="44"/>
    <x v="3"/>
    <n v="2"/>
    <n v="0.13"/>
    <n v="0"/>
    <n v="0"/>
    <n v="2"/>
    <n v="0.25"/>
    <x v="0"/>
  </r>
  <r>
    <x v="0"/>
    <s v="坂戸市"/>
    <x v="44"/>
    <x v="4"/>
    <n v="10"/>
    <n v="0.64"/>
    <n v="0"/>
    <n v="0"/>
    <n v="10"/>
    <n v="1.24"/>
    <x v="0"/>
  </r>
  <r>
    <x v="0"/>
    <s v="坂戸市"/>
    <x v="44"/>
    <x v="5"/>
    <n v="9"/>
    <n v="0.57999999999999996"/>
    <n v="1"/>
    <n v="0.14000000000000001"/>
    <n v="8"/>
    <n v="0.99"/>
    <x v="0"/>
  </r>
  <r>
    <x v="0"/>
    <s v="坂戸市"/>
    <x v="44"/>
    <x v="6"/>
    <n v="296"/>
    <n v="19.07"/>
    <n v="120"/>
    <n v="16.39"/>
    <n v="176"/>
    <n v="21.76"/>
    <x v="0"/>
  </r>
  <r>
    <x v="0"/>
    <s v="坂戸市"/>
    <x v="44"/>
    <x v="7"/>
    <n v="8"/>
    <n v="0.52"/>
    <n v="1"/>
    <n v="0.14000000000000001"/>
    <n v="7"/>
    <n v="0.87"/>
    <x v="0"/>
  </r>
  <r>
    <x v="0"/>
    <s v="坂戸市"/>
    <x v="44"/>
    <x v="8"/>
    <n v="132"/>
    <n v="8.51"/>
    <n v="21"/>
    <n v="2.87"/>
    <n v="111"/>
    <n v="13.72"/>
    <x v="0"/>
  </r>
  <r>
    <x v="0"/>
    <s v="坂戸市"/>
    <x v="44"/>
    <x v="9"/>
    <n v="78"/>
    <n v="5.03"/>
    <n v="37"/>
    <n v="5.05"/>
    <n v="41"/>
    <n v="5.07"/>
    <x v="0"/>
  </r>
  <r>
    <x v="0"/>
    <s v="坂戸市"/>
    <x v="44"/>
    <x v="10"/>
    <n v="207"/>
    <n v="13.34"/>
    <n v="157"/>
    <n v="21.45"/>
    <n v="50"/>
    <n v="6.18"/>
    <x v="0"/>
  </r>
  <r>
    <x v="0"/>
    <s v="坂戸市"/>
    <x v="44"/>
    <x v="11"/>
    <n v="227"/>
    <n v="14.63"/>
    <n v="191"/>
    <n v="26.09"/>
    <n v="36"/>
    <n v="4.45"/>
    <x v="0"/>
  </r>
  <r>
    <x v="0"/>
    <s v="坂戸市"/>
    <x v="44"/>
    <x v="12"/>
    <n v="61"/>
    <n v="3.93"/>
    <n v="36"/>
    <n v="4.92"/>
    <n v="18"/>
    <n v="2.2200000000000002"/>
    <x v="0"/>
  </r>
  <r>
    <x v="0"/>
    <s v="坂戸市"/>
    <x v="44"/>
    <x v="13"/>
    <n v="100"/>
    <n v="6.44"/>
    <n v="70"/>
    <n v="9.56"/>
    <n v="30"/>
    <n v="3.71"/>
    <x v="0"/>
  </r>
  <r>
    <x v="0"/>
    <s v="坂戸市"/>
    <x v="44"/>
    <x v="14"/>
    <n v="42"/>
    <n v="2.71"/>
    <n v="16"/>
    <n v="2.19"/>
    <n v="22"/>
    <n v="2.72"/>
    <x v="0"/>
  </r>
  <r>
    <x v="0"/>
    <s v="幸手市"/>
    <x v="45"/>
    <x v="0"/>
    <n v="0"/>
    <n v="0"/>
    <n v="0"/>
    <n v="0"/>
    <n v="0"/>
    <n v="0"/>
    <x v="0"/>
  </r>
  <r>
    <x v="0"/>
    <s v="幸手市"/>
    <x v="45"/>
    <x v="1"/>
    <n v="184"/>
    <n v="15.4"/>
    <n v="78"/>
    <n v="10.44"/>
    <n v="106"/>
    <n v="24.42"/>
    <x v="0"/>
  </r>
  <r>
    <x v="0"/>
    <s v="幸手市"/>
    <x v="45"/>
    <x v="2"/>
    <n v="87"/>
    <n v="7.28"/>
    <n v="29"/>
    <n v="3.88"/>
    <n v="58"/>
    <n v="13.36"/>
    <x v="0"/>
  </r>
  <r>
    <x v="0"/>
    <s v="幸手市"/>
    <x v="45"/>
    <x v="3"/>
    <n v="1"/>
    <n v="0.08"/>
    <n v="0"/>
    <n v="0"/>
    <n v="1"/>
    <n v="0.23"/>
    <x v="0"/>
  </r>
  <r>
    <x v="0"/>
    <s v="幸手市"/>
    <x v="45"/>
    <x v="4"/>
    <n v="8"/>
    <n v="0.67"/>
    <n v="0"/>
    <n v="0"/>
    <n v="8"/>
    <n v="1.84"/>
    <x v="0"/>
  </r>
  <r>
    <x v="0"/>
    <s v="幸手市"/>
    <x v="45"/>
    <x v="5"/>
    <n v="16"/>
    <n v="1.34"/>
    <n v="1"/>
    <n v="0.13"/>
    <n v="15"/>
    <n v="3.46"/>
    <x v="0"/>
  </r>
  <r>
    <x v="0"/>
    <s v="幸手市"/>
    <x v="45"/>
    <x v="6"/>
    <n v="246"/>
    <n v="20.59"/>
    <n v="134"/>
    <n v="17.940000000000001"/>
    <n v="112"/>
    <n v="25.81"/>
    <x v="0"/>
  </r>
  <r>
    <x v="0"/>
    <s v="幸手市"/>
    <x v="45"/>
    <x v="7"/>
    <n v="4"/>
    <n v="0.33"/>
    <n v="2"/>
    <n v="0.27"/>
    <n v="2"/>
    <n v="0.46"/>
    <x v="0"/>
  </r>
  <r>
    <x v="0"/>
    <s v="幸手市"/>
    <x v="45"/>
    <x v="8"/>
    <n v="173"/>
    <n v="14.48"/>
    <n v="136"/>
    <n v="18.21"/>
    <n v="37"/>
    <n v="8.5299999999999994"/>
    <x v="0"/>
  </r>
  <r>
    <x v="0"/>
    <s v="幸手市"/>
    <x v="45"/>
    <x v="9"/>
    <n v="40"/>
    <n v="3.35"/>
    <n v="28"/>
    <n v="3.75"/>
    <n v="12"/>
    <n v="2.76"/>
    <x v="0"/>
  </r>
  <r>
    <x v="0"/>
    <s v="幸手市"/>
    <x v="45"/>
    <x v="10"/>
    <n v="120"/>
    <n v="10.039999999999999"/>
    <n v="105"/>
    <n v="14.06"/>
    <n v="15"/>
    <n v="3.46"/>
    <x v="0"/>
  </r>
  <r>
    <x v="0"/>
    <s v="幸手市"/>
    <x v="45"/>
    <x v="11"/>
    <n v="148"/>
    <n v="12.38"/>
    <n v="127"/>
    <n v="17"/>
    <n v="21"/>
    <n v="4.84"/>
    <x v="0"/>
  </r>
  <r>
    <x v="0"/>
    <s v="幸手市"/>
    <x v="45"/>
    <x v="12"/>
    <n v="56"/>
    <n v="4.6900000000000004"/>
    <n v="42"/>
    <n v="5.62"/>
    <n v="8"/>
    <n v="1.84"/>
    <x v="0"/>
  </r>
  <r>
    <x v="0"/>
    <s v="幸手市"/>
    <x v="45"/>
    <x v="13"/>
    <n v="57"/>
    <n v="4.7699999999999996"/>
    <n v="34"/>
    <n v="4.55"/>
    <n v="16"/>
    <n v="3.69"/>
    <x v="7"/>
  </r>
  <r>
    <x v="0"/>
    <s v="幸手市"/>
    <x v="45"/>
    <x v="14"/>
    <n v="55"/>
    <n v="4.5999999999999996"/>
    <n v="31"/>
    <n v="4.1500000000000004"/>
    <n v="23"/>
    <n v="5.3"/>
    <x v="0"/>
  </r>
  <r>
    <x v="0"/>
    <s v="鶴ヶ島市"/>
    <x v="46"/>
    <x v="0"/>
    <n v="0"/>
    <n v="0"/>
    <n v="0"/>
    <n v="0"/>
    <n v="0"/>
    <n v="0"/>
    <x v="0"/>
  </r>
  <r>
    <x v="0"/>
    <s v="鶴ヶ島市"/>
    <x v="46"/>
    <x v="1"/>
    <n v="179"/>
    <n v="15.7"/>
    <n v="36"/>
    <n v="6.38"/>
    <n v="143"/>
    <n v="25.22"/>
    <x v="0"/>
  </r>
  <r>
    <x v="0"/>
    <s v="鶴ヶ島市"/>
    <x v="46"/>
    <x v="2"/>
    <n v="67"/>
    <n v="5.88"/>
    <n v="18"/>
    <n v="3.19"/>
    <n v="49"/>
    <n v="8.64"/>
    <x v="0"/>
  </r>
  <r>
    <x v="0"/>
    <s v="鶴ヶ島市"/>
    <x v="46"/>
    <x v="3"/>
    <n v="1"/>
    <n v="0.09"/>
    <n v="0"/>
    <n v="0"/>
    <n v="1"/>
    <n v="0.18"/>
    <x v="0"/>
  </r>
  <r>
    <x v="0"/>
    <s v="鶴ヶ島市"/>
    <x v="46"/>
    <x v="4"/>
    <n v="7"/>
    <n v="0.61"/>
    <n v="0"/>
    <n v="0"/>
    <n v="7"/>
    <n v="1.23"/>
    <x v="0"/>
  </r>
  <r>
    <x v="0"/>
    <s v="鶴ヶ島市"/>
    <x v="46"/>
    <x v="5"/>
    <n v="9"/>
    <n v="0.79"/>
    <n v="1"/>
    <n v="0.18"/>
    <n v="8"/>
    <n v="1.41"/>
    <x v="0"/>
  </r>
  <r>
    <x v="0"/>
    <s v="鶴ヶ島市"/>
    <x v="46"/>
    <x v="6"/>
    <n v="208"/>
    <n v="18.25"/>
    <n v="100"/>
    <n v="17.73"/>
    <n v="108"/>
    <n v="19.05"/>
    <x v="0"/>
  </r>
  <r>
    <x v="0"/>
    <s v="鶴ヶ島市"/>
    <x v="46"/>
    <x v="7"/>
    <n v="11"/>
    <n v="0.96"/>
    <n v="1"/>
    <n v="0.18"/>
    <n v="10"/>
    <n v="1.76"/>
    <x v="0"/>
  </r>
  <r>
    <x v="0"/>
    <s v="鶴ヶ島市"/>
    <x v="46"/>
    <x v="8"/>
    <n v="111"/>
    <n v="9.74"/>
    <n v="33"/>
    <n v="5.85"/>
    <n v="77"/>
    <n v="13.58"/>
    <x v="12"/>
  </r>
  <r>
    <x v="0"/>
    <s v="鶴ヶ島市"/>
    <x v="46"/>
    <x v="9"/>
    <n v="78"/>
    <n v="6.84"/>
    <n v="37"/>
    <n v="6.56"/>
    <n v="41"/>
    <n v="7.23"/>
    <x v="0"/>
  </r>
  <r>
    <x v="0"/>
    <s v="鶴ヶ島市"/>
    <x v="46"/>
    <x v="10"/>
    <n v="122"/>
    <n v="10.7"/>
    <n v="100"/>
    <n v="17.73"/>
    <n v="21"/>
    <n v="3.7"/>
    <x v="12"/>
  </r>
  <r>
    <x v="0"/>
    <s v="鶴ヶ島市"/>
    <x v="46"/>
    <x v="11"/>
    <n v="167"/>
    <n v="14.65"/>
    <n v="132"/>
    <n v="23.4"/>
    <n v="35"/>
    <n v="6.17"/>
    <x v="0"/>
  </r>
  <r>
    <x v="0"/>
    <s v="鶴ヶ島市"/>
    <x v="46"/>
    <x v="12"/>
    <n v="74"/>
    <n v="6.49"/>
    <n v="47"/>
    <n v="8.33"/>
    <n v="20"/>
    <n v="3.53"/>
    <x v="0"/>
  </r>
  <r>
    <x v="0"/>
    <s v="鶴ヶ島市"/>
    <x v="46"/>
    <x v="13"/>
    <n v="73"/>
    <n v="6.4"/>
    <n v="51"/>
    <n v="9.0399999999999991"/>
    <n v="22"/>
    <n v="3.88"/>
    <x v="0"/>
  </r>
  <r>
    <x v="0"/>
    <s v="鶴ヶ島市"/>
    <x v="46"/>
    <x v="14"/>
    <n v="33"/>
    <n v="2.89"/>
    <n v="8"/>
    <n v="1.42"/>
    <n v="25"/>
    <n v="4.41"/>
    <x v="0"/>
  </r>
  <r>
    <x v="0"/>
    <s v="日高市"/>
    <x v="47"/>
    <x v="0"/>
    <n v="0"/>
    <n v="0"/>
    <n v="0"/>
    <n v="0"/>
    <n v="0"/>
    <n v="0"/>
    <x v="0"/>
  </r>
  <r>
    <x v="0"/>
    <s v="日高市"/>
    <x v="47"/>
    <x v="1"/>
    <n v="219"/>
    <n v="21.49"/>
    <n v="66"/>
    <n v="14.77"/>
    <n v="153"/>
    <n v="26.98"/>
    <x v="0"/>
  </r>
  <r>
    <x v="0"/>
    <s v="日高市"/>
    <x v="47"/>
    <x v="2"/>
    <n v="159"/>
    <n v="15.6"/>
    <n v="41"/>
    <n v="9.17"/>
    <n v="118"/>
    <n v="20.81"/>
    <x v="0"/>
  </r>
  <r>
    <x v="0"/>
    <s v="日高市"/>
    <x v="47"/>
    <x v="3"/>
    <n v="2"/>
    <n v="0.2"/>
    <n v="0"/>
    <n v="0"/>
    <n v="2"/>
    <n v="0.35"/>
    <x v="0"/>
  </r>
  <r>
    <x v="0"/>
    <s v="日高市"/>
    <x v="47"/>
    <x v="4"/>
    <n v="11"/>
    <n v="1.08"/>
    <n v="1"/>
    <n v="0.22"/>
    <n v="10"/>
    <n v="1.76"/>
    <x v="0"/>
  </r>
  <r>
    <x v="0"/>
    <s v="日高市"/>
    <x v="47"/>
    <x v="5"/>
    <n v="21"/>
    <n v="2.06"/>
    <n v="2"/>
    <n v="0.45"/>
    <n v="19"/>
    <n v="3.35"/>
    <x v="0"/>
  </r>
  <r>
    <x v="0"/>
    <s v="日高市"/>
    <x v="47"/>
    <x v="6"/>
    <n v="178"/>
    <n v="17.47"/>
    <n v="84"/>
    <n v="18.79"/>
    <n v="94"/>
    <n v="16.579999999999998"/>
    <x v="0"/>
  </r>
  <r>
    <x v="0"/>
    <s v="日高市"/>
    <x v="47"/>
    <x v="7"/>
    <n v="3"/>
    <n v="0.28999999999999998"/>
    <n v="1"/>
    <n v="0.22"/>
    <n v="2"/>
    <n v="0.35"/>
    <x v="0"/>
  </r>
  <r>
    <x v="0"/>
    <s v="日高市"/>
    <x v="47"/>
    <x v="8"/>
    <n v="63"/>
    <n v="6.18"/>
    <n v="10"/>
    <n v="2.2400000000000002"/>
    <n v="53"/>
    <n v="9.35"/>
    <x v="0"/>
  </r>
  <r>
    <x v="0"/>
    <s v="日高市"/>
    <x v="47"/>
    <x v="9"/>
    <n v="38"/>
    <n v="3.73"/>
    <n v="13"/>
    <n v="2.91"/>
    <n v="25"/>
    <n v="4.41"/>
    <x v="0"/>
  </r>
  <r>
    <x v="0"/>
    <s v="日高市"/>
    <x v="47"/>
    <x v="10"/>
    <n v="102"/>
    <n v="10.01"/>
    <n v="83"/>
    <n v="18.57"/>
    <n v="19"/>
    <n v="3.35"/>
    <x v="0"/>
  </r>
  <r>
    <x v="0"/>
    <s v="日高市"/>
    <x v="47"/>
    <x v="11"/>
    <n v="100"/>
    <n v="9.81"/>
    <n v="75"/>
    <n v="16.78"/>
    <n v="23"/>
    <n v="4.0599999999999996"/>
    <x v="2"/>
  </r>
  <r>
    <x v="0"/>
    <s v="日高市"/>
    <x v="47"/>
    <x v="12"/>
    <n v="36"/>
    <n v="3.53"/>
    <n v="27"/>
    <n v="6.04"/>
    <n v="6"/>
    <n v="1.06"/>
    <x v="0"/>
  </r>
  <r>
    <x v="0"/>
    <s v="日高市"/>
    <x v="47"/>
    <x v="13"/>
    <n v="36"/>
    <n v="3.53"/>
    <n v="19"/>
    <n v="4.25"/>
    <n v="17"/>
    <n v="3"/>
    <x v="0"/>
  </r>
  <r>
    <x v="0"/>
    <s v="日高市"/>
    <x v="47"/>
    <x v="14"/>
    <n v="51"/>
    <n v="5"/>
    <n v="25"/>
    <n v="5.59"/>
    <n v="26"/>
    <n v="4.59"/>
    <x v="0"/>
  </r>
  <r>
    <x v="0"/>
    <s v="吉川市"/>
    <x v="48"/>
    <x v="0"/>
    <n v="0"/>
    <n v="0"/>
    <n v="0"/>
    <n v="0"/>
    <n v="0"/>
    <n v="0"/>
    <x v="0"/>
  </r>
  <r>
    <x v="0"/>
    <s v="吉川市"/>
    <x v="48"/>
    <x v="1"/>
    <n v="210"/>
    <n v="17.13"/>
    <n v="44"/>
    <n v="8.73"/>
    <n v="166"/>
    <n v="23.31"/>
    <x v="0"/>
  </r>
  <r>
    <x v="0"/>
    <s v="吉川市"/>
    <x v="48"/>
    <x v="2"/>
    <n v="255"/>
    <n v="20.8"/>
    <n v="68"/>
    <n v="13.49"/>
    <n v="187"/>
    <n v="26.26"/>
    <x v="0"/>
  </r>
  <r>
    <x v="0"/>
    <s v="吉川市"/>
    <x v="48"/>
    <x v="3"/>
    <n v="0"/>
    <n v="0"/>
    <n v="0"/>
    <n v="0"/>
    <n v="0"/>
    <n v="0"/>
    <x v="0"/>
  </r>
  <r>
    <x v="0"/>
    <s v="吉川市"/>
    <x v="48"/>
    <x v="4"/>
    <n v="11"/>
    <n v="0.9"/>
    <n v="0"/>
    <n v="0"/>
    <n v="11"/>
    <n v="1.54"/>
    <x v="0"/>
  </r>
  <r>
    <x v="0"/>
    <s v="吉川市"/>
    <x v="48"/>
    <x v="5"/>
    <n v="13"/>
    <n v="1.06"/>
    <n v="2"/>
    <n v="0.4"/>
    <n v="11"/>
    <n v="1.54"/>
    <x v="0"/>
  </r>
  <r>
    <x v="0"/>
    <s v="吉川市"/>
    <x v="48"/>
    <x v="6"/>
    <n v="200"/>
    <n v="16.309999999999999"/>
    <n v="84"/>
    <n v="16.670000000000002"/>
    <n v="115"/>
    <n v="16.149999999999999"/>
    <x v="12"/>
  </r>
  <r>
    <x v="0"/>
    <s v="吉川市"/>
    <x v="48"/>
    <x v="7"/>
    <n v="2"/>
    <n v="0.16"/>
    <n v="1"/>
    <n v="0.2"/>
    <n v="1"/>
    <n v="0.14000000000000001"/>
    <x v="0"/>
  </r>
  <r>
    <x v="0"/>
    <s v="吉川市"/>
    <x v="48"/>
    <x v="8"/>
    <n v="100"/>
    <n v="8.16"/>
    <n v="27"/>
    <n v="5.36"/>
    <n v="73"/>
    <n v="10.25"/>
    <x v="0"/>
  </r>
  <r>
    <x v="0"/>
    <s v="吉川市"/>
    <x v="48"/>
    <x v="9"/>
    <n v="47"/>
    <n v="3.83"/>
    <n v="20"/>
    <n v="3.97"/>
    <n v="27"/>
    <n v="3.79"/>
    <x v="0"/>
  </r>
  <r>
    <x v="0"/>
    <s v="吉川市"/>
    <x v="48"/>
    <x v="10"/>
    <n v="85"/>
    <n v="6.93"/>
    <n v="70"/>
    <n v="13.89"/>
    <n v="14"/>
    <n v="1.97"/>
    <x v="0"/>
  </r>
  <r>
    <x v="0"/>
    <s v="吉川市"/>
    <x v="48"/>
    <x v="11"/>
    <n v="148"/>
    <n v="12.07"/>
    <n v="111"/>
    <n v="22.02"/>
    <n v="37"/>
    <n v="5.2"/>
    <x v="0"/>
  </r>
  <r>
    <x v="0"/>
    <s v="吉川市"/>
    <x v="48"/>
    <x v="12"/>
    <n v="41"/>
    <n v="3.34"/>
    <n v="20"/>
    <n v="3.97"/>
    <n v="18"/>
    <n v="2.5299999999999998"/>
    <x v="0"/>
  </r>
  <r>
    <x v="0"/>
    <s v="吉川市"/>
    <x v="48"/>
    <x v="13"/>
    <n v="53"/>
    <n v="4.32"/>
    <n v="37"/>
    <n v="7.34"/>
    <n v="13"/>
    <n v="1.83"/>
    <x v="0"/>
  </r>
  <r>
    <x v="0"/>
    <s v="吉川市"/>
    <x v="48"/>
    <x v="14"/>
    <n v="61"/>
    <n v="4.9800000000000004"/>
    <n v="20"/>
    <n v="3.97"/>
    <n v="39"/>
    <n v="5.48"/>
    <x v="12"/>
  </r>
  <r>
    <x v="0"/>
    <s v="ふじみ野市"/>
    <x v="49"/>
    <x v="0"/>
    <n v="0"/>
    <n v="0"/>
    <n v="0"/>
    <n v="0"/>
    <n v="0"/>
    <n v="0"/>
    <x v="0"/>
  </r>
  <r>
    <x v="0"/>
    <s v="ふじみ野市"/>
    <x v="49"/>
    <x v="1"/>
    <n v="248"/>
    <n v="14.85"/>
    <n v="43"/>
    <n v="5.67"/>
    <n v="205"/>
    <n v="22.6"/>
    <x v="0"/>
  </r>
  <r>
    <x v="0"/>
    <s v="ふじみ野市"/>
    <x v="49"/>
    <x v="2"/>
    <n v="148"/>
    <n v="8.86"/>
    <n v="46"/>
    <n v="6.07"/>
    <n v="102"/>
    <n v="11.25"/>
    <x v="0"/>
  </r>
  <r>
    <x v="0"/>
    <s v="ふじみ野市"/>
    <x v="49"/>
    <x v="3"/>
    <n v="1"/>
    <n v="0.06"/>
    <n v="0"/>
    <n v="0"/>
    <n v="1"/>
    <n v="0.11"/>
    <x v="0"/>
  </r>
  <r>
    <x v="0"/>
    <s v="ふじみ野市"/>
    <x v="49"/>
    <x v="4"/>
    <n v="19"/>
    <n v="1.1399999999999999"/>
    <n v="1"/>
    <n v="0.13"/>
    <n v="18"/>
    <n v="1.98"/>
    <x v="0"/>
  </r>
  <r>
    <x v="0"/>
    <s v="ふじみ野市"/>
    <x v="49"/>
    <x v="5"/>
    <n v="11"/>
    <n v="0.66"/>
    <n v="0"/>
    <n v="0"/>
    <n v="11"/>
    <n v="1.21"/>
    <x v="0"/>
  </r>
  <r>
    <x v="0"/>
    <s v="ふじみ野市"/>
    <x v="49"/>
    <x v="6"/>
    <n v="322"/>
    <n v="19.28"/>
    <n v="152"/>
    <n v="20.05"/>
    <n v="170"/>
    <n v="18.739999999999998"/>
    <x v="0"/>
  </r>
  <r>
    <x v="0"/>
    <s v="ふじみ野市"/>
    <x v="49"/>
    <x v="7"/>
    <n v="12"/>
    <n v="0.72"/>
    <n v="2"/>
    <n v="0.26"/>
    <n v="10"/>
    <n v="1.1000000000000001"/>
    <x v="0"/>
  </r>
  <r>
    <x v="0"/>
    <s v="ふじみ野市"/>
    <x v="49"/>
    <x v="8"/>
    <n v="180"/>
    <n v="10.78"/>
    <n v="22"/>
    <n v="2.9"/>
    <n v="158"/>
    <n v="17.420000000000002"/>
    <x v="0"/>
  </r>
  <r>
    <x v="0"/>
    <s v="ふじみ野市"/>
    <x v="49"/>
    <x v="9"/>
    <n v="84"/>
    <n v="5.03"/>
    <n v="39"/>
    <n v="5.15"/>
    <n v="45"/>
    <n v="4.96"/>
    <x v="0"/>
  </r>
  <r>
    <x v="0"/>
    <s v="ふじみ野市"/>
    <x v="49"/>
    <x v="10"/>
    <n v="183"/>
    <n v="10.96"/>
    <n v="153"/>
    <n v="20.18"/>
    <n v="29"/>
    <n v="3.2"/>
    <x v="0"/>
  </r>
  <r>
    <x v="0"/>
    <s v="ふじみ野市"/>
    <x v="49"/>
    <x v="11"/>
    <n v="252"/>
    <n v="15.09"/>
    <n v="174"/>
    <n v="22.96"/>
    <n v="78"/>
    <n v="8.6"/>
    <x v="0"/>
  </r>
  <r>
    <x v="0"/>
    <s v="ふじみ野市"/>
    <x v="49"/>
    <x v="12"/>
    <n v="85"/>
    <n v="5.09"/>
    <n v="67"/>
    <n v="8.84"/>
    <n v="18"/>
    <n v="1.98"/>
    <x v="0"/>
  </r>
  <r>
    <x v="0"/>
    <s v="ふじみ野市"/>
    <x v="49"/>
    <x v="13"/>
    <n v="82"/>
    <n v="4.91"/>
    <n v="48"/>
    <n v="6.33"/>
    <n v="31"/>
    <n v="3.42"/>
    <x v="0"/>
  </r>
  <r>
    <x v="0"/>
    <s v="ふじみ野市"/>
    <x v="49"/>
    <x v="14"/>
    <n v="43"/>
    <n v="2.57"/>
    <n v="11"/>
    <n v="1.45"/>
    <n v="31"/>
    <n v="3.42"/>
    <x v="0"/>
  </r>
  <r>
    <x v="0"/>
    <s v="白岡市"/>
    <x v="50"/>
    <x v="0"/>
    <n v="0"/>
    <n v="0"/>
    <n v="0"/>
    <n v="0"/>
    <n v="0"/>
    <n v="0"/>
    <x v="0"/>
  </r>
  <r>
    <x v="0"/>
    <s v="白岡市"/>
    <x v="50"/>
    <x v="1"/>
    <n v="120"/>
    <n v="14.53"/>
    <n v="39"/>
    <n v="9.31"/>
    <n v="81"/>
    <n v="20.100000000000001"/>
    <x v="0"/>
  </r>
  <r>
    <x v="0"/>
    <s v="白岡市"/>
    <x v="50"/>
    <x v="2"/>
    <n v="72"/>
    <n v="8.7200000000000006"/>
    <n v="24"/>
    <n v="5.73"/>
    <n v="48"/>
    <n v="11.91"/>
    <x v="0"/>
  </r>
  <r>
    <x v="0"/>
    <s v="白岡市"/>
    <x v="50"/>
    <x v="3"/>
    <n v="3"/>
    <n v="0.36"/>
    <n v="0"/>
    <n v="0"/>
    <n v="2"/>
    <n v="0.5"/>
    <x v="0"/>
  </r>
  <r>
    <x v="0"/>
    <s v="白岡市"/>
    <x v="50"/>
    <x v="4"/>
    <n v="2"/>
    <n v="0.24"/>
    <n v="0"/>
    <n v="0"/>
    <n v="2"/>
    <n v="0.5"/>
    <x v="0"/>
  </r>
  <r>
    <x v="0"/>
    <s v="白岡市"/>
    <x v="50"/>
    <x v="5"/>
    <n v="11"/>
    <n v="1.33"/>
    <n v="1"/>
    <n v="0.24"/>
    <n v="10"/>
    <n v="2.48"/>
    <x v="0"/>
  </r>
  <r>
    <x v="0"/>
    <s v="白岡市"/>
    <x v="50"/>
    <x v="6"/>
    <n v="167"/>
    <n v="20.22"/>
    <n v="76"/>
    <n v="18.14"/>
    <n v="91"/>
    <n v="22.58"/>
    <x v="0"/>
  </r>
  <r>
    <x v="0"/>
    <s v="白岡市"/>
    <x v="50"/>
    <x v="7"/>
    <n v="3"/>
    <n v="0.36"/>
    <n v="0"/>
    <n v="0"/>
    <n v="3"/>
    <n v="0.74"/>
    <x v="0"/>
  </r>
  <r>
    <x v="0"/>
    <s v="白岡市"/>
    <x v="50"/>
    <x v="8"/>
    <n v="98"/>
    <n v="11.86"/>
    <n v="50"/>
    <n v="11.93"/>
    <n v="48"/>
    <n v="11.91"/>
    <x v="0"/>
  </r>
  <r>
    <x v="0"/>
    <s v="白岡市"/>
    <x v="50"/>
    <x v="9"/>
    <n v="47"/>
    <n v="5.69"/>
    <n v="18"/>
    <n v="4.3"/>
    <n v="29"/>
    <n v="7.2"/>
    <x v="0"/>
  </r>
  <r>
    <x v="0"/>
    <s v="白岡市"/>
    <x v="50"/>
    <x v="10"/>
    <n v="61"/>
    <n v="7.38"/>
    <n v="43"/>
    <n v="10.26"/>
    <n v="18"/>
    <n v="4.47"/>
    <x v="0"/>
  </r>
  <r>
    <x v="0"/>
    <s v="白岡市"/>
    <x v="50"/>
    <x v="11"/>
    <n v="129"/>
    <n v="15.62"/>
    <n v="105"/>
    <n v="25.06"/>
    <n v="23"/>
    <n v="5.71"/>
    <x v="12"/>
  </r>
  <r>
    <x v="0"/>
    <s v="白岡市"/>
    <x v="50"/>
    <x v="12"/>
    <n v="42"/>
    <n v="5.08"/>
    <n v="29"/>
    <n v="6.92"/>
    <n v="12"/>
    <n v="2.98"/>
    <x v="0"/>
  </r>
  <r>
    <x v="0"/>
    <s v="白岡市"/>
    <x v="50"/>
    <x v="13"/>
    <n v="40"/>
    <n v="4.84"/>
    <n v="23"/>
    <n v="5.49"/>
    <n v="16"/>
    <n v="3.97"/>
    <x v="0"/>
  </r>
  <r>
    <x v="0"/>
    <s v="白岡市"/>
    <x v="50"/>
    <x v="14"/>
    <n v="31"/>
    <n v="3.75"/>
    <n v="11"/>
    <n v="2.63"/>
    <n v="20"/>
    <n v="4.96"/>
    <x v="0"/>
  </r>
  <r>
    <x v="0"/>
    <s v="北足立郡伊奈町"/>
    <x v="51"/>
    <x v="0"/>
    <n v="0"/>
    <n v="0"/>
    <n v="0"/>
    <n v="0"/>
    <n v="0"/>
    <n v="0"/>
    <x v="0"/>
  </r>
  <r>
    <x v="0"/>
    <s v="北足立郡伊奈町"/>
    <x v="51"/>
    <x v="1"/>
    <n v="147"/>
    <n v="20.14"/>
    <n v="35"/>
    <n v="11.67"/>
    <n v="112"/>
    <n v="26.92"/>
    <x v="0"/>
  </r>
  <r>
    <x v="0"/>
    <s v="北足立郡伊奈町"/>
    <x v="51"/>
    <x v="2"/>
    <n v="109"/>
    <n v="14.93"/>
    <n v="23"/>
    <n v="7.67"/>
    <n v="86"/>
    <n v="20.67"/>
    <x v="0"/>
  </r>
  <r>
    <x v="0"/>
    <s v="北足立郡伊奈町"/>
    <x v="51"/>
    <x v="3"/>
    <n v="1"/>
    <n v="0.14000000000000001"/>
    <n v="0"/>
    <n v="0"/>
    <n v="1"/>
    <n v="0.24"/>
    <x v="0"/>
  </r>
  <r>
    <x v="0"/>
    <s v="北足立郡伊奈町"/>
    <x v="51"/>
    <x v="4"/>
    <n v="6"/>
    <n v="0.82"/>
    <n v="1"/>
    <n v="0.33"/>
    <n v="5"/>
    <n v="1.2"/>
    <x v="0"/>
  </r>
  <r>
    <x v="0"/>
    <s v="北足立郡伊奈町"/>
    <x v="51"/>
    <x v="5"/>
    <n v="9"/>
    <n v="1.23"/>
    <n v="2"/>
    <n v="0.67"/>
    <n v="7"/>
    <n v="1.68"/>
    <x v="0"/>
  </r>
  <r>
    <x v="0"/>
    <s v="北足立郡伊奈町"/>
    <x v="51"/>
    <x v="6"/>
    <n v="139"/>
    <n v="19.04"/>
    <n v="52"/>
    <n v="17.329999999999998"/>
    <n v="87"/>
    <n v="20.91"/>
    <x v="0"/>
  </r>
  <r>
    <x v="0"/>
    <s v="北足立郡伊奈町"/>
    <x v="51"/>
    <x v="7"/>
    <n v="4"/>
    <n v="0.55000000000000004"/>
    <n v="0"/>
    <n v="0"/>
    <n v="4"/>
    <n v="0.96"/>
    <x v="0"/>
  </r>
  <r>
    <x v="0"/>
    <s v="北足立郡伊奈町"/>
    <x v="51"/>
    <x v="8"/>
    <n v="47"/>
    <n v="6.44"/>
    <n v="7"/>
    <n v="2.33"/>
    <n v="40"/>
    <n v="9.6199999999999992"/>
    <x v="0"/>
  </r>
  <r>
    <x v="0"/>
    <s v="北足立郡伊奈町"/>
    <x v="51"/>
    <x v="9"/>
    <n v="23"/>
    <n v="3.15"/>
    <n v="9"/>
    <n v="3"/>
    <n v="14"/>
    <n v="3.37"/>
    <x v="0"/>
  </r>
  <r>
    <x v="0"/>
    <s v="北足立郡伊奈町"/>
    <x v="51"/>
    <x v="10"/>
    <n v="53"/>
    <n v="7.26"/>
    <n v="44"/>
    <n v="14.67"/>
    <n v="9"/>
    <n v="2.16"/>
    <x v="0"/>
  </r>
  <r>
    <x v="0"/>
    <s v="北足立郡伊奈町"/>
    <x v="51"/>
    <x v="11"/>
    <n v="76"/>
    <n v="10.41"/>
    <n v="62"/>
    <n v="20.67"/>
    <n v="14"/>
    <n v="3.37"/>
    <x v="0"/>
  </r>
  <r>
    <x v="0"/>
    <s v="北足立郡伊奈町"/>
    <x v="51"/>
    <x v="12"/>
    <n v="42"/>
    <n v="5.75"/>
    <n v="32"/>
    <n v="10.67"/>
    <n v="9"/>
    <n v="2.16"/>
    <x v="0"/>
  </r>
  <r>
    <x v="0"/>
    <s v="北足立郡伊奈町"/>
    <x v="51"/>
    <x v="13"/>
    <n v="43"/>
    <n v="5.89"/>
    <n v="25"/>
    <n v="8.33"/>
    <n v="5"/>
    <n v="1.2"/>
    <x v="0"/>
  </r>
  <r>
    <x v="0"/>
    <s v="北足立郡伊奈町"/>
    <x v="51"/>
    <x v="14"/>
    <n v="31"/>
    <n v="4.25"/>
    <n v="8"/>
    <n v="2.67"/>
    <n v="23"/>
    <n v="5.53"/>
    <x v="0"/>
  </r>
  <r>
    <x v="0"/>
    <s v="入間郡三芳町"/>
    <x v="52"/>
    <x v="0"/>
    <n v="0"/>
    <n v="0"/>
    <n v="0"/>
    <n v="0"/>
    <n v="0"/>
    <n v="0"/>
    <x v="0"/>
  </r>
  <r>
    <x v="0"/>
    <s v="入間郡三芳町"/>
    <x v="52"/>
    <x v="1"/>
    <n v="151"/>
    <n v="19.04"/>
    <n v="19"/>
    <n v="10.8"/>
    <n v="132"/>
    <n v="21.71"/>
    <x v="0"/>
  </r>
  <r>
    <x v="0"/>
    <s v="入間郡三芳町"/>
    <x v="52"/>
    <x v="2"/>
    <n v="182"/>
    <n v="22.95"/>
    <n v="31"/>
    <n v="17.61"/>
    <n v="151"/>
    <n v="24.84"/>
    <x v="0"/>
  </r>
  <r>
    <x v="0"/>
    <s v="入間郡三芳町"/>
    <x v="52"/>
    <x v="3"/>
    <n v="1"/>
    <n v="0.13"/>
    <n v="0"/>
    <n v="0"/>
    <n v="1"/>
    <n v="0.16"/>
    <x v="0"/>
  </r>
  <r>
    <x v="0"/>
    <s v="入間郡三芳町"/>
    <x v="52"/>
    <x v="4"/>
    <n v="7"/>
    <n v="0.88"/>
    <n v="0"/>
    <n v="0"/>
    <n v="7"/>
    <n v="1.1499999999999999"/>
    <x v="0"/>
  </r>
  <r>
    <x v="0"/>
    <s v="入間郡三芳町"/>
    <x v="52"/>
    <x v="5"/>
    <n v="21"/>
    <n v="2.65"/>
    <n v="0"/>
    <n v="0"/>
    <n v="21"/>
    <n v="3.45"/>
    <x v="0"/>
  </r>
  <r>
    <x v="0"/>
    <s v="入間郡三芳町"/>
    <x v="52"/>
    <x v="6"/>
    <n v="118"/>
    <n v="14.88"/>
    <n v="27"/>
    <n v="15.34"/>
    <n v="91"/>
    <n v="14.97"/>
    <x v="0"/>
  </r>
  <r>
    <x v="0"/>
    <s v="入間郡三芳町"/>
    <x v="52"/>
    <x v="7"/>
    <n v="3"/>
    <n v="0.38"/>
    <n v="0"/>
    <n v="0"/>
    <n v="3"/>
    <n v="0.49"/>
    <x v="0"/>
  </r>
  <r>
    <x v="0"/>
    <s v="入間郡三芳町"/>
    <x v="52"/>
    <x v="8"/>
    <n v="127"/>
    <n v="16.02"/>
    <n v="6"/>
    <n v="3.41"/>
    <n v="120"/>
    <n v="19.739999999999998"/>
    <x v="12"/>
  </r>
  <r>
    <x v="0"/>
    <s v="入間郡三芳町"/>
    <x v="52"/>
    <x v="9"/>
    <n v="19"/>
    <n v="2.4"/>
    <n v="8"/>
    <n v="4.55"/>
    <n v="11"/>
    <n v="1.81"/>
    <x v="0"/>
  </r>
  <r>
    <x v="0"/>
    <s v="入間郡三芳町"/>
    <x v="52"/>
    <x v="10"/>
    <n v="34"/>
    <n v="4.29"/>
    <n v="22"/>
    <n v="12.5"/>
    <n v="12"/>
    <n v="1.97"/>
    <x v="0"/>
  </r>
  <r>
    <x v="0"/>
    <s v="入間郡三芳町"/>
    <x v="52"/>
    <x v="11"/>
    <n v="50"/>
    <n v="6.31"/>
    <n v="35"/>
    <n v="19.89"/>
    <n v="15"/>
    <n v="2.4700000000000002"/>
    <x v="0"/>
  </r>
  <r>
    <x v="0"/>
    <s v="入間郡三芳町"/>
    <x v="52"/>
    <x v="12"/>
    <n v="19"/>
    <n v="2.4"/>
    <n v="10"/>
    <n v="5.68"/>
    <n v="6"/>
    <n v="0.99"/>
    <x v="0"/>
  </r>
  <r>
    <x v="0"/>
    <s v="入間郡三芳町"/>
    <x v="52"/>
    <x v="13"/>
    <n v="26"/>
    <n v="3.28"/>
    <n v="12"/>
    <n v="6.82"/>
    <n v="9"/>
    <n v="1.48"/>
    <x v="0"/>
  </r>
  <r>
    <x v="0"/>
    <s v="入間郡三芳町"/>
    <x v="52"/>
    <x v="14"/>
    <n v="35"/>
    <n v="4.41"/>
    <n v="6"/>
    <n v="3.41"/>
    <n v="29"/>
    <n v="4.7699999999999996"/>
    <x v="0"/>
  </r>
  <r>
    <x v="0"/>
    <s v="入間郡毛呂山町"/>
    <x v="53"/>
    <x v="0"/>
    <n v="0"/>
    <n v="0"/>
    <n v="0"/>
    <n v="0"/>
    <n v="0"/>
    <n v="0"/>
    <x v="0"/>
  </r>
  <r>
    <x v="0"/>
    <s v="入間郡毛呂山町"/>
    <x v="53"/>
    <x v="1"/>
    <n v="111"/>
    <n v="16.350000000000001"/>
    <n v="34"/>
    <n v="9.0399999999999991"/>
    <n v="77"/>
    <n v="25.67"/>
    <x v="0"/>
  </r>
  <r>
    <x v="0"/>
    <s v="入間郡毛呂山町"/>
    <x v="53"/>
    <x v="2"/>
    <n v="58"/>
    <n v="8.5399999999999991"/>
    <n v="21"/>
    <n v="5.59"/>
    <n v="37"/>
    <n v="12.33"/>
    <x v="0"/>
  </r>
  <r>
    <x v="0"/>
    <s v="入間郡毛呂山町"/>
    <x v="53"/>
    <x v="3"/>
    <n v="1"/>
    <n v="0.15"/>
    <n v="0"/>
    <n v="0"/>
    <n v="1"/>
    <n v="0.33"/>
    <x v="0"/>
  </r>
  <r>
    <x v="0"/>
    <s v="入間郡毛呂山町"/>
    <x v="53"/>
    <x v="4"/>
    <n v="5"/>
    <n v="0.74"/>
    <n v="0"/>
    <n v="0"/>
    <n v="4"/>
    <n v="1.33"/>
    <x v="12"/>
  </r>
  <r>
    <x v="0"/>
    <s v="入間郡毛呂山町"/>
    <x v="53"/>
    <x v="5"/>
    <n v="8"/>
    <n v="1.18"/>
    <n v="4"/>
    <n v="1.06"/>
    <n v="4"/>
    <n v="1.33"/>
    <x v="0"/>
  </r>
  <r>
    <x v="0"/>
    <s v="入間郡毛呂山町"/>
    <x v="53"/>
    <x v="6"/>
    <n v="133"/>
    <n v="19.59"/>
    <n v="66"/>
    <n v="17.55"/>
    <n v="67"/>
    <n v="22.33"/>
    <x v="0"/>
  </r>
  <r>
    <x v="0"/>
    <s v="入間郡毛呂山町"/>
    <x v="53"/>
    <x v="7"/>
    <n v="5"/>
    <n v="0.74"/>
    <n v="2"/>
    <n v="0.53"/>
    <n v="3"/>
    <n v="1"/>
    <x v="0"/>
  </r>
  <r>
    <x v="0"/>
    <s v="入間郡毛呂山町"/>
    <x v="53"/>
    <x v="8"/>
    <n v="39"/>
    <n v="5.74"/>
    <n v="15"/>
    <n v="3.99"/>
    <n v="24"/>
    <n v="8"/>
    <x v="0"/>
  </r>
  <r>
    <x v="0"/>
    <s v="入間郡毛呂山町"/>
    <x v="53"/>
    <x v="9"/>
    <n v="24"/>
    <n v="3.53"/>
    <n v="10"/>
    <n v="2.66"/>
    <n v="14"/>
    <n v="4.67"/>
    <x v="0"/>
  </r>
  <r>
    <x v="0"/>
    <s v="入間郡毛呂山町"/>
    <x v="53"/>
    <x v="10"/>
    <n v="116"/>
    <n v="17.079999999999998"/>
    <n v="100"/>
    <n v="26.6"/>
    <n v="15"/>
    <n v="5"/>
    <x v="0"/>
  </r>
  <r>
    <x v="0"/>
    <s v="入間郡毛呂山町"/>
    <x v="53"/>
    <x v="11"/>
    <n v="98"/>
    <n v="14.43"/>
    <n v="77"/>
    <n v="20.48"/>
    <n v="21"/>
    <n v="7"/>
    <x v="0"/>
  </r>
  <r>
    <x v="0"/>
    <s v="入間郡毛呂山町"/>
    <x v="53"/>
    <x v="12"/>
    <n v="22"/>
    <n v="3.24"/>
    <n v="16"/>
    <n v="4.26"/>
    <n v="6"/>
    <n v="2"/>
    <x v="0"/>
  </r>
  <r>
    <x v="0"/>
    <s v="入間郡毛呂山町"/>
    <x v="53"/>
    <x v="13"/>
    <n v="36"/>
    <n v="5.3"/>
    <n v="20"/>
    <n v="5.32"/>
    <n v="15"/>
    <n v="5"/>
    <x v="0"/>
  </r>
  <r>
    <x v="0"/>
    <s v="入間郡毛呂山町"/>
    <x v="53"/>
    <x v="14"/>
    <n v="23"/>
    <n v="3.39"/>
    <n v="11"/>
    <n v="2.93"/>
    <n v="12"/>
    <n v="4"/>
    <x v="0"/>
  </r>
  <r>
    <x v="0"/>
    <s v="入間郡越生町"/>
    <x v="54"/>
    <x v="0"/>
    <n v="0"/>
    <n v="0"/>
    <n v="0"/>
    <n v="0"/>
    <n v="0"/>
    <n v="0"/>
    <x v="0"/>
  </r>
  <r>
    <x v="0"/>
    <s v="入間郡越生町"/>
    <x v="54"/>
    <x v="1"/>
    <n v="62"/>
    <n v="20.53"/>
    <n v="27"/>
    <n v="15.52"/>
    <n v="35"/>
    <n v="28"/>
    <x v="0"/>
  </r>
  <r>
    <x v="0"/>
    <s v="入間郡越生町"/>
    <x v="54"/>
    <x v="2"/>
    <n v="55"/>
    <n v="18.21"/>
    <n v="24"/>
    <n v="13.79"/>
    <n v="31"/>
    <n v="24.8"/>
    <x v="0"/>
  </r>
  <r>
    <x v="0"/>
    <s v="入間郡越生町"/>
    <x v="54"/>
    <x v="3"/>
    <n v="0"/>
    <n v="0"/>
    <n v="0"/>
    <n v="0"/>
    <n v="0"/>
    <n v="0"/>
    <x v="0"/>
  </r>
  <r>
    <x v="0"/>
    <s v="入間郡越生町"/>
    <x v="54"/>
    <x v="4"/>
    <n v="1"/>
    <n v="0.33"/>
    <n v="0"/>
    <n v="0"/>
    <n v="1"/>
    <n v="0.8"/>
    <x v="0"/>
  </r>
  <r>
    <x v="0"/>
    <s v="入間郡越生町"/>
    <x v="54"/>
    <x v="5"/>
    <n v="4"/>
    <n v="1.32"/>
    <n v="0"/>
    <n v="0"/>
    <n v="4"/>
    <n v="3.2"/>
    <x v="0"/>
  </r>
  <r>
    <x v="0"/>
    <s v="入間郡越生町"/>
    <x v="54"/>
    <x v="6"/>
    <n v="63"/>
    <n v="20.86"/>
    <n v="38"/>
    <n v="21.84"/>
    <n v="25"/>
    <n v="20"/>
    <x v="0"/>
  </r>
  <r>
    <x v="0"/>
    <s v="入間郡越生町"/>
    <x v="54"/>
    <x v="7"/>
    <n v="1"/>
    <n v="0.33"/>
    <n v="1"/>
    <n v="0.56999999999999995"/>
    <n v="0"/>
    <n v="0"/>
    <x v="0"/>
  </r>
  <r>
    <x v="0"/>
    <s v="入間郡越生町"/>
    <x v="54"/>
    <x v="8"/>
    <n v="11"/>
    <n v="3.64"/>
    <n v="2"/>
    <n v="1.1499999999999999"/>
    <n v="9"/>
    <n v="7.2"/>
    <x v="0"/>
  </r>
  <r>
    <x v="0"/>
    <s v="入間郡越生町"/>
    <x v="54"/>
    <x v="9"/>
    <n v="9"/>
    <n v="2.98"/>
    <n v="6"/>
    <n v="3.45"/>
    <n v="3"/>
    <n v="2.4"/>
    <x v="0"/>
  </r>
  <r>
    <x v="0"/>
    <s v="入間郡越生町"/>
    <x v="54"/>
    <x v="10"/>
    <n v="32"/>
    <n v="10.6"/>
    <n v="26"/>
    <n v="14.94"/>
    <n v="6"/>
    <n v="4.8"/>
    <x v="0"/>
  </r>
  <r>
    <x v="0"/>
    <s v="入間郡越生町"/>
    <x v="54"/>
    <x v="11"/>
    <n v="20"/>
    <n v="6.62"/>
    <n v="16"/>
    <n v="9.1999999999999993"/>
    <n v="4"/>
    <n v="3.2"/>
    <x v="0"/>
  </r>
  <r>
    <x v="0"/>
    <s v="入間郡越生町"/>
    <x v="54"/>
    <x v="12"/>
    <n v="20"/>
    <n v="6.62"/>
    <n v="19"/>
    <n v="10.92"/>
    <n v="0"/>
    <n v="0"/>
    <x v="0"/>
  </r>
  <r>
    <x v="0"/>
    <s v="入間郡越生町"/>
    <x v="54"/>
    <x v="13"/>
    <n v="12"/>
    <n v="3.97"/>
    <n v="7"/>
    <n v="4.0199999999999996"/>
    <n v="3"/>
    <n v="2.4"/>
    <x v="0"/>
  </r>
  <r>
    <x v="0"/>
    <s v="入間郡越生町"/>
    <x v="54"/>
    <x v="14"/>
    <n v="12"/>
    <n v="3.97"/>
    <n v="8"/>
    <n v="4.5999999999999996"/>
    <n v="4"/>
    <n v="3.2"/>
    <x v="0"/>
  </r>
  <r>
    <x v="0"/>
    <s v="比企郡滑川町"/>
    <x v="55"/>
    <x v="0"/>
    <n v="0"/>
    <n v="0"/>
    <n v="0"/>
    <n v="0"/>
    <n v="0"/>
    <n v="0"/>
    <x v="0"/>
  </r>
  <r>
    <x v="0"/>
    <s v="比企郡滑川町"/>
    <x v="55"/>
    <x v="1"/>
    <n v="64"/>
    <n v="21.92"/>
    <n v="27"/>
    <n v="16.27"/>
    <n v="37"/>
    <n v="29.6"/>
    <x v="0"/>
  </r>
  <r>
    <x v="0"/>
    <s v="比企郡滑川町"/>
    <x v="55"/>
    <x v="2"/>
    <n v="22"/>
    <n v="7.53"/>
    <n v="9"/>
    <n v="5.42"/>
    <n v="13"/>
    <n v="10.4"/>
    <x v="0"/>
  </r>
  <r>
    <x v="0"/>
    <s v="比企郡滑川町"/>
    <x v="55"/>
    <x v="3"/>
    <n v="1"/>
    <n v="0.34"/>
    <n v="0"/>
    <n v="0"/>
    <n v="1"/>
    <n v="0.8"/>
    <x v="0"/>
  </r>
  <r>
    <x v="0"/>
    <s v="比企郡滑川町"/>
    <x v="55"/>
    <x v="4"/>
    <n v="3"/>
    <n v="1.03"/>
    <n v="0"/>
    <n v="0"/>
    <n v="3"/>
    <n v="2.4"/>
    <x v="0"/>
  </r>
  <r>
    <x v="0"/>
    <s v="比企郡滑川町"/>
    <x v="55"/>
    <x v="5"/>
    <n v="3"/>
    <n v="1.03"/>
    <n v="0"/>
    <n v="0"/>
    <n v="3"/>
    <n v="2.4"/>
    <x v="0"/>
  </r>
  <r>
    <x v="0"/>
    <s v="比企郡滑川町"/>
    <x v="55"/>
    <x v="6"/>
    <n v="50"/>
    <n v="17.12"/>
    <n v="29"/>
    <n v="17.47"/>
    <n v="21"/>
    <n v="16.8"/>
    <x v="0"/>
  </r>
  <r>
    <x v="0"/>
    <s v="比企郡滑川町"/>
    <x v="55"/>
    <x v="7"/>
    <n v="0"/>
    <n v="0"/>
    <n v="0"/>
    <n v="0"/>
    <n v="0"/>
    <n v="0"/>
    <x v="0"/>
  </r>
  <r>
    <x v="0"/>
    <s v="比企郡滑川町"/>
    <x v="55"/>
    <x v="8"/>
    <n v="26"/>
    <n v="8.9"/>
    <n v="10"/>
    <n v="6.02"/>
    <n v="16"/>
    <n v="12.8"/>
    <x v="0"/>
  </r>
  <r>
    <x v="0"/>
    <s v="比企郡滑川町"/>
    <x v="55"/>
    <x v="9"/>
    <n v="12"/>
    <n v="4.1100000000000003"/>
    <n v="5"/>
    <n v="3.01"/>
    <n v="7"/>
    <n v="5.6"/>
    <x v="0"/>
  </r>
  <r>
    <x v="0"/>
    <s v="比企郡滑川町"/>
    <x v="55"/>
    <x v="10"/>
    <n v="34"/>
    <n v="11.64"/>
    <n v="27"/>
    <n v="16.27"/>
    <n v="7"/>
    <n v="5.6"/>
    <x v="0"/>
  </r>
  <r>
    <x v="0"/>
    <s v="比企郡滑川町"/>
    <x v="55"/>
    <x v="11"/>
    <n v="48"/>
    <n v="16.440000000000001"/>
    <n v="41"/>
    <n v="24.7"/>
    <n v="7"/>
    <n v="5.6"/>
    <x v="0"/>
  </r>
  <r>
    <x v="0"/>
    <s v="比企郡滑川町"/>
    <x v="55"/>
    <x v="12"/>
    <n v="5"/>
    <n v="1.71"/>
    <n v="4"/>
    <n v="2.41"/>
    <n v="1"/>
    <n v="0.8"/>
    <x v="0"/>
  </r>
  <r>
    <x v="0"/>
    <s v="比企郡滑川町"/>
    <x v="55"/>
    <x v="13"/>
    <n v="19"/>
    <n v="6.51"/>
    <n v="12"/>
    <n v="7.23"/>
    <n v="6"/>
    <n v="4.8"/>
    <x v="12"/>
  </r>
  <r>
    <x v="0"/>
    <s v="比企郡滑川町"/>
    <x v="55"/>
    <x v="14"/>
    <n v="5"/>
    <n v="1.71"/>
    <n v="2"/>
    <n v="1.2"/>
    <n v="3"/>
    <n v="2.4"/>
    <x v="0"/>
  </r>
  <r>
    <x v="0"/>
    <s v="比企郡嵐山町"/>
    <x v="56"/>
    <x v="0"/>
    <n v="0"/>
    <n v="0"/>
    <n v="0"/>
    <n v="0"/>
    <n v="0"/>
    <n v="0"/>
    <x v="0"/>
  </r>
  <r>
    <x v="0"/>
    <s v="比企郡嵐山町"/>
    <x v="56"/>
    <x v="1"/>
    <n v="91"/>
    <n v="21.16"/>
    <n v="41"/>
    <n v="16.399999999999999"/>
    <n v="50"/>
    <n v="28.9"/>
    <x v="0"/>
  </r>
  <r>
    <x v="0"/>
    <s v="比企郡嵐山町"/>
    <x v="56"/>
    <x v="2"/>
    <n v="29"/>
    <n v="6.74"/>
    <n v="9"/>
    <n v="3.6"/>
    <n v="20"/>
    <n v="11.56"/>
    <x v="0"/>
  </r>
  <r>
    <x v="0"/>
    <s v="比企郡嵐山町"/>
    <x v="56"/>
    <x v="3"/>
    <n v="1"/>
    <n v="0.23"/>
    <n v="0"/>
    <n v="0"/>
    <n v="1"/>
    <n v="0.57999999999999996"/>
    <x v="0"/>
  </r>
  <r>
    <x v="0"/>
    <s v="比企郡嵐山町"/>
    <x v="56"/>
    <x v="4"/>
    <n v="6"/>
    <n v="1.4"/>
    <n v="1"/>
    <n v="0.4"/>
    <n v="5"/>
    <n v="2.89"/>
    <x v="0"/>
  </r>
  <r>
    <x v="0"/>
    <s v="比企郡嵐山町"/>
    <x v="56"/>
    <x v="5"/>
    <n v="1"/>
    <n v="0.23"/>
    <n v="0"/>
    <n v="0"/>
    <n v="1"/>
    <n v="0.57999999999999996"/>
    <x v="0"/>
  </r>
  <r>
    <x v="0"/>
    <s v="比企郡嵐山町"/>
    <x v="56"/>
    <x v="6"/>
    <n v="87"/>
    <n v="20.23"/>
    <n v="50"/>
    <n v="20"/>
    <n v="37"/>
    <n v="21.39"/>
    <x v="0"/>
  </r>
  <r>
    <x v="0"/>
    <s v="比企郡嵐山町"/>
    <x v="56"/>
    <x v="7"/>
    <n v="1"/>
    <n v="0.23"/>
    <n v="1"/>
    <n v="0.4"/>
    <n v="0"/>
    <n v="0"/>
    <x v="0"/>
  </r>
  <r>
    <x v="0"/>
    <s v="比企郡嵐山町"/>
    <x v="56"/>
    <x v="8"/>
    <n v="42"/>
    <n v="9.77"/>
    <n v="31"/>
    <n v="12.4"/>
    <n v="10"/>
    <n v="5.78"/>
    <x v="12"/>
  </r>
  <r>
    <x v="0"/>
    <s v="比企郡嵐山町"/>
    <x v="56"/>
    <x v="9"/>
    <n v="26"/>
    <n v="6.05"/>
    <n v="12"/>
    <n v="4.8"/>
    <n v="14"/>
    <n v="8.09"/>
    <x v="0"/>
  </r>
  <r>
    <x v="0"/>
    <s v="比企郡嵐山町"/>
    <x v="56"/>
    <x v="10"/>
    <n v="51"/>
    <n v="11.86"/>
    <n v="42"/>
    <n v="16.8"/>
    <n v="8"/>
    <n v="4.62"/>
    <x v="0"/>
  </r>
  <r>
    <x v="0"/>
    <s v="比企郡嵐山町"/>
    <x v="56"/>
    <x v="11"/>
    <n v="54"/>
    <n v="12.56"/>
    <n v="39"/>
    <n v="15.6"/>
    <n v="13"/>
    <n v="7.51"/>
    <x v="12"/>
  </r>
  <r>
    <x v="0"/>
    <s v="比企郡嵐山町"/>
    <x v="56"/>
    <x v="12"/>
    <n v="16"/>
    <n v="3.72"/>
    <n v="12"/>
    <n v="4.8"/>
    <n v="3"/>
    <n v="1.73"/>
    <x v="0"/>
  </r>
  <r>
    <x v="0"/>
    <s v="比企郡嵐山町"/>
    <x v="56"/>
    <x v="13"/>
    <n v="19"/>
    <n v="4.42"/>
    <n v="11"/>
    <n v="4.4000000000000004"/>
    <n v="6"/>
    <n v="3.47"/>
    <x v="0"/>
  </r>
  <r>
    <x v="0"/>
    <s v="比企郡嵐山町"/>
    <x v="56"/>
    <x v="14"/>
    <n v="6"/>
    <n v="1.4"/>
    <n v="1"/>
    <n v="0.4"/>
    <n v="5"/>
    <n v="2.89"/>
    <x v="0"/>
  </r>
  <r>
    <x v="0"/>
    <s v="比企郡小川町"/>
    <x v="57"/>
    <x v="0"/>
    <n v="0"/>
    <n v="0"/>
    <n v="0"/>
    <n v="0"/>
    <n v="0"/>
    <n v="0"/>
    <x v="0"/>
  </r>
  <r>
    <x v="0"/>
    <s v="比企郡小川町"/>
    <x v="57"/>
    <x v="1"/>
    <n v="100"/>
    <n v="14.9"/>
    <n v="48"/>
    <n v="12.12"/>
    <n v="52"/>
    <n v="19.399999999999999"/>
    <x v="0"/>
  </r>
  <r>
    <x v="0"/>
    <s v="比企郡小川町"/>
    <x v="57"/>
    <x v="2"/>
    <n v="104"/>
    <n v="15.5"/>
    <n v="47"/>
    <n v="11.87"/>
    <n v="57"/>
    <n v="21.27"/>
    <x v="0"/>
  </r>
  <r>
    <x v="0"/>
    <s v="比企郡小川町"/>
    <x v="57"/>
    <x v="3"/>
    <n v="4"/>
    <n v="0.6"/>
    <n v="0"/>
    <n v="0"/>
    <n v="3"/>
    <n v="1.1200000000000001"/>
    <x v="0"/>
  </r>
  <r>
    <x v="0"/>
    <s v="比企郡小川町"/>
    <x v="57"/>
    <x v="4"/>
    <n v="6"/>
    <n v="0.89"/>
    <n v="2"/>
    <n v="0.51"/>
    <n v="4"/>
    <n v="1.49"/>
    <x v="0"/>
  </r>
  <r>
    <x v="0"/>
    <s v="比企郡小川町"/>
    <x v="57"/>
    <x v="5"/>
    <n v="5"/>
    <n v="0.75"/>
    <n v="2"/>
    <n v="0.51"/>
    <n v="3"/>
    <n v="1.1200000000000001"/>
    <x v="0"/>
  </r>
  <r>
    <x v="0"/>
    <s v="比企郡小川町"/>
    <x v="57"/>
    <x v="6"/>
    <n v="163"/>
    <n v="24.29"/>
    <n v="90"/>
    <n v="22.73"/>
    <n v="73"/>
    <n v="27.24"/>
    <x v="0"/>
  </r>
  <r>
    <x v="0"/>
    <s v="比企郡小川町"/>
    <x v="57"/>
    <x v="7"/>
    <n v="2"/>
    <n v="0.3"/>
    <n v="1"/>
    <n v="0.25"/>
    <n v="1"/>
    <n v="0.37"/>
    <x v="0"/>
  </r>
  <r>
    <x v="0"/>
    <s v="比企郡小川町"/>
    <x v="57"/>
    <x v="8"/>
    <n v="44"/>
    <n v="6.56"/>
    <n v="24"/>
    <n v="6.06"/>
    <n v="20"/>
    <n v="7.46"/>
    <x v="0"/>
  </r>
  <r>
    <x v="0"/>
    <s v="比企郡小川町"/>
    <x v="57"/>
    <x v="9"/>
    <n v="32"/>
    <n v="4.7699999999999996"/>
    <n v="17"/>
    <n v="4.29"/>
    <n v="15"/>
    <n v="5.6"/>
    <x v="0"/>
  </r>
  <r>
    <x v="0"/>
    <s v="比企郡小川町"/>
    <x v="57"/>
    <x v="10"/>
    <n v="62"/>
    <n v="9.24"/>
    <n v="50"/>
    <n v="12.63"/>
    <n v="12"/>
    <n v="4.4800000000000004"/>
    <x v="0"/>
  </r>
  <r>
    <x v="0"/>
    <s v="比企郡小川町"/>
    <x v="57"/>
    <x v="11"/>
    <n v="72"/>
    <n v="10.73"/>
    <n v="61"/>
    <n v="15.4"/>
    <n v="11"/>
    <n v="4.0999999999999996"/>
    <x v="0"/>
  </r>
  <r>
    <x v="0"/>
    <s v="比企郡小川町"/>
    <x v="57"/>
    <x v="12"/>
    <n v="36"/>
    <n v="5.37"/>
    <n v="26"/>
    <n v="6.57"/>
    <n v="5"/>
    <n v="1.87"/>
    <x v="0"/>
  </r>
  <r>
    <x v="0"/>
    <s v="比企郡小川町"/>
    <x v="57"/>
    <x v="13"/>
    <n v="28"/>
    <n v="4.17"/>
    <n v="19"/>
    <n v="4.8"/>
    <n v="8"/>
    <n v="2.99"/>
    <x v="12"/>
  </r>
  <r>
    <x v="0"/>
    <s v="比企郡小川町"/>
    <x v="57"/>
    <x v="14"/>
    <n v="13"/>
    <n v="1.94"/>
    <n v="9"/>
    <n v="2.27"/>
    <n v="4"/>
    <n v="1.49"/>
    <x v="0"/>
  </r>
  <r>
    <x v="0"/>
    <s v="比企郡川島町"/>
    <x v="58"/>
    <x v="0"/>
    <n v="0"/>
    <n v="0"/>
    <n v="0"/>
    <n v="0"/>
    <n v="0"/>
    <n v="0"/>
    <x v="0"/>
  </r>
  <r>
    <x v="0"/>
    <s v="比企郡川島町"/>
    <x v="58"/>
    <x v="1"/>
    <n v="131"/>
    <n v="26.73"/>
    <n v="57"/>
    <n v="25"/>
    <n v="74"/>
    <n v="28.46"/>
    <x v="0"/>
  </r>
  <r>
    <x v="0"/>
    <s v="比企郡川島町"/>
    <x v="58"/>
    <x v="2"/>
    <n v="101"/>
    <n v="20.61"/>
    <n v="25"/>
    <n v="10.96"/>
    <n v="76"/>
    <n v="29.23"/>
    <x v="0"/>
  </r>
  <r>
    <x v="0"/>
    <s v="比企郡川島町"/>
    <x v="58"/>
    <x v="3"/>
    <n v="0"/>
    <n v="0"/>
    <n v="0"/>
    <n v="0"/>
    <n v="0"/>
    <n v="0"/>
    <x v="0"/>
  </r>
  <r>
    <x v="0"/>
    <s v="比企郡川島町"/>
    <x v="58"/>
    <x v="4"/>
    <n v="3"/>
    <n v="0.61"/>
    <n v="0"/>
    <n v="0"/>
    <n v="3"/>
    <n v="1.1499999999999999"/>
    <x v="0"/>
  </r>
  <r>
    <x v="0"/>
    <s v="比企郡川島町"/>
    <x v="58"/>
    <x v="5"/>
    <n v="6"/>
    <n v="1.22"/>
    <n v="0"/>
    <n v="0"/>
    <n v="6"/>
    <n v="2.31"/>
    <x v="0"/>
  </r>
  <r>
    <x v="0"/>
    <s v="比企郡川島町"/>
    <x v="58"/>
    <x v="6"/>
    <n v="80"/>
    <n v="16.329999999999998"/>
    <n v="41"/>
    <n v="17.98"/>
    <n v="39"/>
    <n v="15"/>
    <x v="0"/>
  </r>
  <r>
    <x v="0"/>
    <s v="比企郡川島町"/>
    <x v="58"/>
    <x v="7"/>
    <n v="0"/>
    <n v="0"/>
    <n v="0"/>
    <n v="0"/>
    <n v="0"/>
    <n v="0"/>
    <x v="0"/>
  </r>
  <r>
    <x v="0"/>
    <s v="比企郡川島町"/>
    <x v="58"/>
    <x v="8"/>
    <n v="19"/>
    <n v="3.88"/>
    <n v="1"/>
    <n v="0.44"/>
    <n v="18"/>
    <n v="6.92"/>
    <x v="0"/>
  </r>
  <r>
    <x v="0"/>
    <s v="比企郡川島町"/>
    <x v="58"/>
    <x v="9"/>
    <n v="13"/>
    <n v="2.65"/>
    <n v="3"/>
    <n v="1.32"/>
    <n v="10"/>
    <n v="3.85"/>
    <x v="0"/>
  </r>
  <r>
    <x v="0"/>
    <s v="比企郡川島町"/>
    <x v="58"/>
    <x v="10"/>
    <n v="40"/>
    <n v="8.16"/>
    <n v="36"/>
    <n v="15.79"/>
    <n v="3"/>
    <n v="1.1499999999999999"/>
    <x v="0"/>
  </r>
  <r>
    <x v="0"/>
    <s v="比企郡川島町"/>
    <x v="58"/>
    <x v="11"/>
    <n v="40"/>
    <n v="8.16"/>
    <n v="33"/>
    <n v="14.47"/>
    <n v="7"/>
    <n v="2.69"/>
    <x v="0"/>
  </r>
  <r>
    <x v="0"/>
    <s v="比企郡川島町"/>
    <x v="58"/>
    <x v="12"/>
    <n v="14"/>
    <n v="2.86"/>
    <n v="10"/>
    <n v="4.3899999999999997"/>
    <n v="3"/>
    <n v="1.1499999999999999"/>
    <x v="0"/>
  </r>
  <r>
    <x v="0"/>
    <s v="比企郡川島町"/>
    <x v="58"/>
    <x v="13"/>
    <n v="13"/>
    <n v="2.65"/>
    <n v="8"/>
    <n v="3.51"/>
    <n v="5"/>
    <n v="1.92"/>
    <x v="0"/>
  </r>
  <r>
    <x v="0"/>
    <s v="比企郡川島町"/>
    <x v="58"/>
    <x v="14"/>
    <n v="30"/>
    <n v="6.12"/>
    <n v="14"/>
    <n v="6.14"/>
    <n v="16"/>
    <n v="6.15"/>
    <x v="0"/>
  </r>
  <r>
    <x v="0"/>
    <s v="比企郡吉見町"/>
    <x v="59"/>
    <x v="0"/>
    <n v="0"/>
    <n v="0"/>
    <n v="0"/>
    <n v="0"/>
    <n v="0"/>
    <n v="0"/>
    <x v="0"/>
  </r>
  <r>
    <x v="0"/>
    <s v="比企郡吉見町"/>
    <x v="59"/>
    <x v="1"/>
    <n v="117"/>
    <n v="29.55"/>
    <n v="58"/>
    <n v="28.57"/>
    <n v="59"/>
    <n v="31.22"/>
    <x v="0"/>
  </r>
  <r>
    <x v="0"/>
    <s v="比企郡吉見町"/>
    <x v="59"/>
    <x v="2"/>
    <n v="57"/>
    <n v="14.39"/>
    <n v="17"/>
    <n v="8.3699999999999992"/>
    <n v="40"/>
    <n v="21.16"/>
    <x v="0"/>
  </r>
  <r>
    <x v="0"/>
    <s v="比企郡吉見町"/>
    <x v="59"/>
    <x v="3"/>
    <n v="2"/>
    <n v="0.51"/>
    <n v="0"/>
    <n v="0"/>
    <n v="2"/>
    <n v="1.06"/>
    <x v="0"/>
  </r>
  <r>
    <x v="0"/>
    <s v="比企郡吉見町"/>
    <x v="59"/>
    <x v="4"/>
    <n v="3"/>
    <n v="0.76"/>
    <n v="2"/>
    <n v="0.99"/>
    <n v="1"/>
    <n v="0.53"/>
    <x v="0"/>
  </r>
  <r>
    <x v="0"/>
    <s v="比企郡吉見町"/>
    <x v="59"/>
    <x v="5"/>
    <n v="3"/>
    <n v="0.76"/>
    <n v="0"/>
    <n v="0"/>
    <n v="3"/>
    <n v="1.59"/>
    <x v="0"/>
  </r>
  <r>
    <x v="0"/>
    <s v="比企郡吉見町"/>
    <x v="59"/>
    <x v="6"/>
    <n v="76"/>
    <n v="19.190000000000001"/>
    <n v="37"/>
    <n v="18.23"/>
    <n v="39"/>
    <n v="20.63"/>
    <x v="0"/>
  </r>
  <r>
    <x v="0"/>
    <s v="比企郡吉見町"/>
    <x v="59"/>
    <x v="7"/>
    <n v="2"/>
    <n v="0.51"/>
    <n v="0"/>
    <n v="0"/>
    <n v="2"/>
    <n v="1.06"/>
    <x v="0"/>
  </r>
  <r>
    <x v="0"/>
    <s v="比企郡吉見町"/>
    <x v="59"/>
    <x v="8"/>
    <n v="12"/>
    <n v="3.03"/>
    <n v="0"/>
    <n v="0"/>
    <n v="12"/>
    <n v="6.35"/>
    <x v="0"/>
  </r>
  <r>
    <x v="0"/>
    <s v="比企郡吉見町"/>
    <x v="59"/>
    <x v="9"/>
    <n v="12"/>
    <n v="3.03"/>
    <n v="7"/>
    <n v="3.45"/>
    <n v="5"/>
    <n v="2.65"/>
    <x v="0"/>
  </r>
  <r>
    <x v="0"/>
    <s v="比企郡吉見町"/>
    <x v="59"/>
    <x v="10"/>
    <n v="36"/>
    <n v="9.09"/>
    <n v="32"/>
    <n v="15.76"/>
    <n v="4"/>
    <n v="2.12"/>
    <x v="0"/>
  </r>
  <r>
    <x v="0"/>
    <s v="比企郡吉見町"/>
    <x v="59"/>
    <x v="11"/>
    <n v="33"/>
    <n v="8.33"/>
    <n v="28"/>
    <n v="13.79"/>
    <n v="4"/>
    <n v="2.12"/>
    <x v="0"/>
  </r>
  <r>
    <x v="0"/>
    <s v="比企郡吉見町"/>
    <x v="59"/>
    <x v="12"/>
    <n v="7"/>
    <n v="1.77"/>
    <n v="6"/>
    <n v="2.96"/>
    <n v="0"/>
    <n v="0"/>
    <x v="12"/>
  </r>
  <r>
    <x v="0"/>
    <s v="比企郡吉見町"/>
    <x v="59"/>
    <x v="13"/>
    <n v="12"/>
    <n v="3.03"/>
    <n v="6"/>
    <n v="2.96"/>
    <n v="5"/>
    <n v="2.65"/>
    <x v="0"/>
  </r>
  <r>
    <x v="0"/>
    <s v="比企郡吉見町"/>
    <x v="59"/>
    <x v="14"/>
    <n v="24"/>
    <n v="6.06"/>
    <n v="10"/>
    <n v="4.93"/>
    <n v="13"/>
    <n v="6.88"/>
    <x v="0"/>
  </r>
  <r>
    <x v="0"/>
    <s v="比企郡鳩山町"/>
    <x v="60"/>
    <x v="0"/>
    <n v="0"/>
    <n v="0"/>
    <n v="0"/>
    <n v="0"/>
    <n v="0"/>
    <n v="0"/>
    <x v="0"/>
  </r>
  <r>
    <x v="0"/>
    <s v="比企郡鳩山町"/>
    <x v="60"/>
    <x v="1"/>
    <n v="67"/>
    <n v="24.91"/>
    <n v="28"/>
    <n v="20"/>
    <n v="39"/>
    <n v="30.71"/>
    <x v="0"/>
  </r>
  <r>
    <x v="0"/>
    <s v="比企郡鳩山町"/>
    <x v="60"/>
    <x v="2"/>
    <n v="37"/>
    <n v="13.75"/>
    <n v="15"/>
    <n v="10.71"/>
    <n v="22"/>
    <n v="17.32"/>
    <x v="0"/>
  </r>
  <r>
    <x v="0"/>
    <s v="比企郡鳩山町"/>
    <x v="60"/>
    <x v="3"/>
    <n v="0"/>
    <n v="0"/>
    <n v="0"/>
    <n v="0"/>
    <n v="0"/>
    <n v="0"/>
    <x v="0"/>
  </r>
  <r>
    <x v="0"/>
    <s v="比企郡鳩山町"/>
    <x v="60"/>
    <x v="4"/>
    <n v="4"/>
    <n v="1.49"/>
    <n v="0"/>
    <n v="0"/>
    <n v="4"/>
    <n v="3.15"/>
    <x v="0"/>
  </r>
  <r>
    <x v="0"/>
    <s v="比企郡鳩山町"/>
    <x v="60"/>
    <x v="5"/>
    <n v="3"/>
    <n v="1.1200000000000001"/>
    <n v="2"/>
    <n v="1.43"/>
    <n v="1"/>
    <n v="0.79"/>
    <x v="0"/>
  </r>
  <r>
    <x v="0"/>
    <s v="比企郡鳩山町"/>
    <x v="60"/>
    <x v="6"/>
    <n v="47"/>
    <n v="17.47"/>
    <n v="19"/>
    <n v="13.57"/>
    <n v="28"/>
    <n v="22.05"/>
    <x v="0"/>
  </r>
  <r>
    <x v="0"/>
    <s v="比企郡鳩山町"/>
    <x v="60"/>
    <x v="7"/>
    <n v="1"/>
    <n v="0.37"/>
    <n v="0"/>
    <n v="0"/>
    <n v="1"/>
    <n v="0.79"/>
    <x v="0"/>
  </r>
  <r>
    <x v="0"/>
    <s v="比企郡鳩山町"/>
    <x v="60"/>
    <x v="8"/>
    <n v="7"/>
    <n v="2.6"/>
    <n v="1"/>
    <n v="0.71"/>
    <n v="6"/>
    <n v="4.72"/>
    <x v="0"/>
  </r>
  <r>
    <x v="0"/>
    <s v="比企郡鳩山町"/>
    <x v="60"/>
    <x v="9"/>
    <n v="19"/>
    <n v="7.06"/>
    <n v="11"/>
    <n v="7.86"/>
    <n v="8"/>
    <n v="6.3"/>
    <x v="0"/>
  </r>
  <r>
    <x v="0"/>
    <s v="比企郡鳩山町"/>
    <x v="60"/>
    <x v="10"/>
    <n v="17"/>
    <n v="6.32"/>
    <n v="14"/>
    <n v="10"/>
    <n v="3"/>
    <n v="2.36"/>
    <x v="0"/>
  </r>
  <r>
    <x v="0"/>
    <s v="比企郡鳩山町"/>
    <x v="60"/>
    <x v="11"/>
    <n v="28"/>
    <n v="10.41"/>
    <n v="23"/>
    <n v="16.43"/>
    <n v="4"/>
    <n v="3.15"/>
    <x v="0"/>
  </r>
  <r>
    <x v="0"/>
    <s v="比企郡鳩山町"/>
    <x v="60"/>
    <x v="12"/>
    <n v="19"/>
    <n v="7.06"/>
    <n v="16"/>
    <n v="11.43"/>
    <n v="2"/>
    <n v="1.57"/>
    <x v="0"/>
  </r>
  <r>
    <x v="0"/>
    <s v="比企郡鳩山町"/>
    <x v="60"/>
    <x v="13"/>
    <n v="8"/>
    <n v="2.97"/>
    <n v="6"/>
    <n v="4.29"/>
    <n v="2"/>
    <n v="1.57"/>
    <x v="0"/>
  </r>
  <r>
    <x v="0"/>
    <s v="比企郡鳩山町"/>
    <x v="60"/>
    <x v="14"/>
    <n v="12"/>
    <n v="4.46"/>
    <n v="5"/>
    <n v="3.57"/>
    <n v="7"/>
    <n v="5.51"/>
    <x v="0"/>
  </r>
  <r>
    <x v="0"/>
    <s v="比企郡ときがわ町"/>
    <x v="61"/>
    <x v="0"/>
    <n v="0"/>
    <n v="0"/>
    <n v="0"/>
    <n v="0"/>
    <n v="0"/>
    <n v="0"/>
    <x v="0"/>
  </r>
  <r>
    <x v="0"/>
    <s v="比企郡ときがわ町"/>
    <x v="61"/>
    <x v="1"/>
    <n v="66"/>
    <n v="18.86"/>
    <n v="33"/>
    <n v="16.920000000000002"/>
    <n v="33"/>
    <n v="22.15"/>
    <x v="0"/>
  </r>
  <r>
    <x v="0"/>
    <s v="比企郡ときがわ町"/>
    <x v="61"/>
    <x v="2"/>
    <n v="104"/>
    <n v="29.71"/>
    <n v="43"/>
    <n v="22.05"/>
    <n v="61"/>
    <n v="40.94"/>
    <x v="0"/>
  </r>
  <r>
    <x v="0"/>
    <s v="比企郡ときがわ町"/>
    <x v="61"/>
    <x v="3"/>
    <n v="0"/>
    <n v="0"/>
    <n v="0"/>
    <n v="0"/>
    <n v="0"/>
    <n v="0"/>
    <x v="0"/>
  </r>
  <r>
    <x v="0"/>
    <s v="比企郡ときがわ町"/>
    <x v="61"/>
    <x v="4"/>
    <n v="3"/>
    <n v="0.86"/>
    <n v="0"/>
    <n v="0"/>
    <n v="3"/>
    <n v="2.0099999999999998"/>
    <x v="0"/>
  </r>
  <r>
    <x v="0"/>
    <s v="比企郡ときがわ町"/>
    <x v="61"/>
    <x v="5"/>
    <n v="3"/>
    <n v="0.86"/>
    <n v="0"/>
    <n v="0"/>
    <n v="3"/>
    <n v="2.0099999999999998"/>
    <x v="0"/>
  </r>
  <r>
    <x v="0"/>
    <s v="比企郡ときがわ町"/>
    <x v="61"/>
    <x v="6"/>
    <n v="72"/>
    <n v="20.57"/>
    <n v="47"/>
    <n v="24.1"/>
    <n v="25"/>
    <n v="16.78"/>
    <x v="0"/>
  </r>
  <r>
    <x v="0"/>
    <s v="比企郡ときがわ町"/>
    <x v="61"/>
    <x v="7"/>
    <n v="1"/>
    <n v="0.28999999999999998"/>
    <n v="1"/>
    <n v="0.51"/>
    <n v="0"/>
    <n v="0"/>
    <x v="0"/>
  </r>
  <r>
    <x v="0"/>
    <s v="比企郡ときがわ町"/>
    <x v="61"/>
    <x v="8"/>
    <n v="8"/>
    <n v="2.29"/>
    <n v="0"/>
    <n v="0"/>
    <n v="8"/>
    <n v="5.37"/>
    <x v="0"/>
  </r>
  <r>
    <x v="0"/>
    <s v="比企郡ときがわ町"/>
    <x v="61"/>
    <x v="9"/>
    <n v="6"/>
    <n v="1.71"/>
    <n v="4"/>
    <n v="2.0499999999999998"/>
    <n v="2"/>
    <n v="1.34"/>
    <x v="0"/>
  </r>
  <r>
    <x v="0"/>
    <s v="比企郡ときがわ町"/>
    <x v="61"/>
    <x v="10"/>
    <n v="35"/>
    <n v="10"/>
    <n v="32"/>
    <n v="16.41"/>
    <n v="3"/>
    <n v="2.0099999999999998"/>
    <x v="0"/>
  </r>
  <r>
    <x v="0"/>
    <s v="比企郡ときがわ町"/>
    <x v="61"/>
    <x v="11"/>
    <n v="24"/>
    <n v="6.86"/>
    <n v="18"/>
    <n v="9.23"/>
    <n v="5"/>
    <n v="3.36"/>
    <x v="0"/>
  </r>
  <r>
    <x v="0"/>
    <s v="比企郡ときがわ町"/>
    <x v="61"/>
    <x v="12"/>
    <n v="8"/>
    <n v="2.29"/>
    <n v="4"/>
    <n v="2.0499999999999998"/>
    <n v="1"/>
    <n v="0.67"/>
    <x v="0"/>
  </r>
  <r>
    <x v="0"/>
    <s v="比企郡ときがわ町"/>
    <x v="61"/>
    <x v="13"/>
    <n v="9"/>
    <n v="2.57"/>
    <n v="6"/>
    <n v="3.08"/>
    <n v="2"/>
    <n v="1.34"/>
    <x v="0"/>
  </r>
  <r>
    <x v="0"/>
    <s v="比企郡ときがわ町"/>
    <x v="61"/>
    <x v="14"/>
    <n v="11"/>
    <n v="3.14"/>
    <n v="7"/>
    <n v="3.59"/>
    <n v="3"/>
    <n v="2.0099999999999998"/>
    <x v="0"/>
  </r>
  <r>
    <x v="0"/>
    <s v="秩父郡横瀬町"/>
    <x v="62"/>
    <x v="0"/>
    <n v="1"/>
    <n v="0.49"/>
    <n v="0"/>
    <n v="0"/>
    <n v="1"/>
    <n v="1.1599999999999999"/>
    <x v="0"/>
  </r>
  <r>
    <x v="0"/>
    <s v="秩父郡横瀬町"/>
    <x v="62"/>
    <x v="1"/>
    <n v="43"/>
    <n v="20.98"/>
    <n v="15"/>
    <n v="13.04"/>
    <n v="28"/>
    <n v="32.56"/>
    <x v="0"/>
  </r>
  <r>
    <x v="0"/>
    <s v="秩父郡横瀬町"/>
    <x v="62"/>
    <x v="2"/>
    <n v="28"/>
    <n v="13.66"/>
    <n v="10"/>
    <n v="8.6999999999999993"/>
    <n v="18"/>
    <n v="20.93"/>
    <x v="0"/>
  </r>
  <r>
    <x v="0"/>
    <s v="秩父郡横瀬町"/>
    <x v="62"/>
    <x v="3"/>
    <n v="2"/>
    <n v="0.98"/>
    <n v="0"/>
    <n v="0"/>
    <n v="1"/>
    <n v="1.1599999999999999"/>
    <x v="0"/>
  </r>
  <r>
    <x v="0"/>
    <s v="秩父郡横瀬町"/>
    <x v="62"/>
    <x v="4"/>
    <n v="0"/>
    <n v="0"/>
    <n v="0"/>
    <n v="0"/>
    <n v="0"/>
    <n v="0"/>
    <x v="0"/>
  </r>
  <r>
    <x v="0"/>
    <s v="秩父郡横瀬町"/>
    <x v="62"/>
    <x v="5"/>
    <n v="4"/>
    <n v="1.95"/>
    <n v="0"/>
    <n v="0"/>
    <n v="4"/>
    <n v="4.6500000000000004"/>
    <x v="0"/>
  </r>
  <r>
    <x v="0"/>
    <s v="秩父郡横瀬町"/>
    <x v="62"/>
    <x v="6"/>
    <n v="26"/>
    <n v="12.68"/>
    <n v="14"/>
    <n v="12.17"/>
    <n v="12"/>
    <n v="13.95"/>
    <x v="0"/>
  </r>
  <r>
    <x v="0"/>
    <s v="秩父郡横瀬町"/>
    <x v="62"/>
    <x v="7"/>
    <n v="0"/>
    <n v="0"/>
    <n v="0"/>
    <n v="0"/>
    <n v="0"/>
    <n v="0"/>
    <x v="0"/>
  </r>
  <r>
    <x v="0"/>
    <s v="秩父郡横瀬町"/>
    <x v="62"/>
    <x v="8"/>
    <n v="30"/>
    <n v="14.63"/>
    <n v="23"/>
    <n v="20"/>
    <n v="7"/>
    <n v="8.14"/>
    <x v="0"/>
  </r>
  <r>
    <x v="0"/>
    <s v="秩父郡横瀬町"/>
    <x v="62"/>
    <x v="9"/>
    <n v="6"/>
    <n v="2.93"/>
    <n v="3"/>
    <n v="2.61"/>
    <n v="3"/>
    <n v="3.49"/>
    <x v="0"/>
  </r>
  <r>
    <x v="0"/>
    <s v="秩父郡横瀬町"/>
    <x v="62"/>
    <x v="10"/>
    <n v="23"/>
    <n v="11.22"/>
    <n v="20"/>
    <n v="17.39"/>
    <n v="2"/>
    <n v="2.33"/>
    <x v="0"/>
  </r>
  <r>
    <x v="0"/>
    <s v="秩父郡横瀬町"/>
    <x v="62"/>
    <x v="11"/>
    <n v="23"/>
    <n v="11.22"/>
    <n v="18"/>
    <n v="15.65"/>
    <n v="5"/>
    <n v="5.81"/>
    <x v="0"/>
  </r>
  <r>
    <x v="0"/>
    <s v="秩父郡横瀬町"/>
    <x v="62"/>
    <x v="12"/>
    <n v="3"/>
    <n v="1.46"/>
    <n v="1"/>
    <n v="0.87"/>
    <n v="0"/>
    <n v="0"/>
    <x v="0"/>
  </r>
  <r>
    <x v="0"/>
    <s v="秩父郡横瀬町"/>
    <x v="62"/>
    <x v="13"/>
    <n v="8"/>
    <n v="3.9"/>
    <n v="6"/>
    <n v="5.22"/>
    <n v="2"/>
    <n v="2.33"/>
    <x v="0"/>
  </r>
  <r>
    <x v="0"/>
    <s v="秩父郡横瀬町"/>
    <x v="62"/>
    <x v="14"/>
    <n v="8"/>
    <n v="3.9"/>
    <n v="5"/>
    <n v="4.3499999999999996"/>
    <n v="3"/>
    <n v="3.49"/>
    <x v="0"/>
  </r>
  <r>
    <x v="0"/>
    <s v="秩父郡皆野町"/>
    <x v="63"/>
    <x v="0"/>
    <n v="0"/>
    <n v="0"/>
    <n v="0"/>
    <n v="0"/>
    <n v="0"/>
    <n v="0"/>
    <x v="0"/>
  </r>
  <r>
    <x v="0"/>
    <s v="秩父郡皆野町"/>
    <x v="63"/>
    <x v="1"/>
    <n v="58"/>
    <n v="19.66"/>
    <n v="29"/>
    <n v="15.68"/>
    <n v="29"/>
    <n v="27.36"/>
    <x v="0"/>
  </r>
  <r>
    <x v="0"/>
    <s v="秩父郡皆野町"/>
    <x v="63"/>
    <x v="2"/>
    <n v="30"/>
    <n v="10.17"/>
    <n v="11"/>
    <n v="5.95"/>
    <n v="19"/>
    <n v="17.920000000000002"/>
    <x v="0"/>
  </r>
  <r>
    <x v="0"/>
    <s v="秩父郡皆野町"/>
    <x v="63"/>
    <x v="3"/>
    <n v="3"/>
    <n v="1.02"/>
    <n v="0"/>
    <n v="0"/>
    <n v="3"/>
    <n v="2.83"/>
    <x v="0"/>
  </r>
  <r>
    <x v="0"/>
    <s v="秩父郡皆野町"/>
    <x v="63"/>
    <x v="4"/>
    <n v="0"/>
    <n v="0"/>
    <n v="0"/>
    <n v="0"/>
    <n v="0"/>
    <n v="0"/>
    <x v="0"/>
  </r>
  <r>
    <x v="0"/>
    <s v="秩父郡皆野町"/>
    <x v="63"/>
    <x v="5"/>
    <n v="4"/>
    <n v="1.36"/>
    <n v="0"/>
    <n v="0"/>
    <n v="3"/>
    <n v="2.83"/>
    <x v="0"/>
  </r>
  <r>
    <x v="0"/>
    <s v="秩父郡皆野町"/>
    <x v="63"/>
    <x v="6"/>
    <n v="74"/>
    <n v="25.08"/>
    <n v="57"/>
    <n v="30.81"/>
    <n v="17"/>
    <n v="16.04"/>
    <x v="0"/>
  </r>
  <r>
    <x v="0"/>
    <s v="秩父郡皆野町"/>
    <x v="63"/>
    <x v="7"/>
    <n v="1"/>
    <n v="0.34"/>
    <n v="0"/>
    <n v="0"/>
    <n v="1"/>
    <n v="0.94"/>
    <x v="0"/>
  </r>
  <r>
    <x v="0"/>
    <s v="秩父郡皆野町"/>
    <x v="63"/>
    <x v="8"/>
    <n v="9"/>
    <n v="3.05"/>
    <n v="2"/>
    <n v="1.08"/>
    <n v="7"/>
    <n v="6.6"/>
    <x v="0"/>
  </r>
  <r>
    <x v="0"/>
    <s v="秩父郡皆野町"/>
    <x v="63"/>
    <x v="9"/>
    <n v="10"/>
    <n v="3.39"/>
    <n v="5"/>
    <n v="2.7"/>
    <n v="5"/>
    <n v="4.72"/>
    <x v="0"/>
  </r>
  <r>
    <x v="0"/>
    <s v="秩父郡皆野町"/>
    <x v="63"/>
    <x v="10"/>
    <n v="41"/>
    <n v="13.9"/>
    <n v="33"/>
    <n v="17.84"/>
    <n v="8"/>
    <n v="7.55"/>
    <x v="0"/>
  </r>
  <r>
    <x v="0"/>
    <s v="秩父郡皆野町"/>
    <x v="63"/>
    <x v="11"/>
    <n v="33"/>
    <n v="11.19"/>
    <n v="28"/>
    <n v="15.14"/>
    <n v="5"/>
    <n v="4.72"/>
    <x v="0"/>
  </r>
  <r>
    <x v="0"/>
    <s v="秩父郡皆野町"/>
    <x v="63"/>
    <x v="12"/>
    <n v="7"/>
    <n v="2.37"/>
    <n v="5"/>
    <n v="2.7"/>
    <n v="1"/>
    <n v="0.94"/>
    <x v="0"/>
  </r>
  <r>
    <x v="0"/>
    <s v="秩父郡皆野町"/>
    <x v="63"/>
    <x v="13"/>
    <n v="9"/>
    <n v="3.05"/>
    <n v="5"/>
    <n v="2.7"/>
    <n v="4"/>
    <n v="3.77"/>
    <x v="0"/>
  </r>
  <r>
    <x v="0"/>
    <s v="秩父郡皆野町"/>
    <x v="63"/>
    <x v="14"/>
    <n v="16"/>
    <n v="5.42"/>
    <n v="10"/>
    <n v="5.41"/>
    <n v="4"/>
    <n v="3.77"/>
    <x v="0"/>
  </r>
  <r>
    <x v="0"/>
    <s v="秩父郡長瀞町"/>
    <x v="64"/>
    <x v="0"/>
    <n v="0"/>
    <n v="0"/>
    <n v="0"/>
    <n v="0"/>
    <n v="0"/>
    <n v="0"/>
    <x v="0"/>
  </r>
  <r>
    <x v="0"/>
    <s v="秩父郡長瀞町"/>
    <x v="64"/>
    <x v="1"/>
    <n v="32"/>
    <n v="12.31"/>
    <n v="19"/>
    <n v="11.05"/>
    <n v="13"/>
    <n v="15.29"/>
    <x v="0"/>
  </r>
  <r>
    <x v="0"/>
    <s v="秩父郡長瀞町"/>
    <x v="64"/>
    <x v="2"/>
    <n v="37"/>
    <n v="14.23"/>
    <n v="12"/>
    <n v="6.98"/>
    <n v="25"/>
    <n v="29.41"/>
    <x v="0"/>
  </r>
  <r>
    <x v="0"/>
    <s v="秩父郡長瀞町"/>
    <x v="64"/>
    <x v="3"/>
    <n v="1"/>
    <n v="0.38"/>
    <n v="0"/>
    <n v="0"/>
    <n v="1"/>
    <n v="1.18"/>
    <x v="0"/>
  </r>
  <r>
    <x v="0"/>
    <s v="秩父郡長瀞町"/>
    <x v="64"/>
    <x v="4"/>
    <n v="2"/>
    <n v="0.77"/>
    <n v="0"/>
    <n v="0"/>
    <n v="2"/>
    <n v="2.35"/>
    <x v="0"/>
  </r>
  <r>
    <x v="0"/>
    <s v="秩父郡長瀞町"/>
    <x v="64"/>
    <x v="5"/>
    <n v="4"/>
    <n v="1.54"/>
    <n v="1"/>
    <n v="0.57999999999999996"/>
    <n v="3"/>
    <n v="3.53"/>
    <x v="0"/>
  </r>
  <r>
    <x v="0"/>
    <s v="秩父郡長瀞町"/>
    <x v="64"/>
    <x v="6"/>
    <n v="51"/>
    <n v="19.62"/>
    <n v="37"/>
    <n v="21.51"/>
    <n v="14"/>
    <n v="16.47"/>
    <x v="0"/>
  </r>
  <r>
    <x v="0"/>
    <s v="秩父郡長瀞町"/>
    <x v="64"/>
    <x v="7"/>
    <n v="1"/>
    <n v="0.38"/>
    <n v="1"/>
    <n v="0.57999999999999996"/>
    <n v="0"/>
    <n v="0"/>
    <x v="0"/>
  </r>
  <r>
    <x v="0"/>
    <s v="秩父郡長瀞町"/>
    <x v="64"/>
    <x v="8"/>
    <n v="17"/>
    <n v="6.54"/>
    <n v="12"/>
    <n v="6.98"/>
    <n v="5"/>
    <n v="5.88"/>
    <x v="0"/>
  </r>
  <r>
    <x v="0"/>
    <s v="秩父郡長瀞町"/>
    <x v="64"/>
    <x v="9"/>
    <n v="9"/>
    <n v="3.46"/>
    <n v="6"/>
    <n v="3.49"/>
    <n v="3"/>
    <n v="3.53"/>
    <x v="0"/>
  </r>
  <r>
    <x v="0"/>
    <s v="秩父郡長瀞町"/>
    <x v="64"/>
    <x v="10"/>
    <n v="50"/>
    <n v="19.23"/>
    <n v="42"/>
    <n v="24.42"/>
    <n v="8"/>
    <n v="9.41"/>
    <x v="0"/>
  </r>
  <r>
    <x v="0"/>
    <s v="秩父郡長瀞町"/>
    <x v="64"/>
    <x v="11"/>
    <n v="31"/>
    <n v="11.92"/>
    <n v="28"/>
    <n v="16.28"/>
    <n v="3"/>
    <n v="3.53"/>
    <x v="0"/>
  </r>
  <r>
    <x v="0"/>
    <s v="秩父郡長瀞町"/>
    <x v="64"/>
    <x v="12"/>
    <n v="8"/>
    <n v="3.08"/>
    <n v="6"/>
    <n v="3.49"/>
    <n v="1"/>
    <n v="1.18"/>
    <x v="0"/>
  </r>
  <r>
    <x v="0"/>
    <s v="秩父郡長瀞町"/>
    <x v="64"/>
    <x v="13"/>
    <n v="10"/>
    <n v="3.85"/>
    <n v="5"/>
    <n v="2.91"/>
    <n v="4"/>
    <n v="4.71"/>
    <x v="0"/>
  </r>
  <r>
    <x v="0"/>
    <s v="秩父郡長瀞町"/>
    <x v="64"/>
    <x v="14"/>
    <n v="7"/>
    <n v="2.69"/>
    <n v="3"/>
    <n v="1.74"/>
    <n v="3"/>
    <n v="3.53"/>
    <x v="0"/>
  </r>
  <r>
    <x v="0"/>
    <s v="秩父郡小鹿野町"/>
    <x v="65"/>
    <x v="0"/>
    <n v="0"/>
    <n v="0"/>
    <n v="0"/>
    <n v="0"/>
    <n v="0"/>
    <n v="0"/>
    <x v="0"/>
  </r>
  <r>
    <x v="0"/>
    <s v="秩父郡小鹿野町"/>
    <x v="65"/>
    <x v="1"/>
    <n v="98"/>
    <n v="25.86"/>
    <n v="60"/>
    <n v="23.44"/>
    <n v="38"/>
    <n v="32.479999999999997"/>
    <x v="0"/>
  </r>
  <r>
    <x v="0"/>
    <s v="秩父郡小鹿野町"/>
    <x v="65"/>
    <x v="2"/>
    <n v="56"/>
    <n v="14.78"/>
    <n v="29"/>
    <n v="11.33"/>
    <n v="27"/>
    <n v="23.08"/>
    <x v="0"/>
  </r>
  <r>
    <x v="0"/>
    <s v="秩父郡小鹿野町"/>
    <x v="65"/>
    <x v="3"/>
    <n v="0"/>
    <n v="0"/>
    <n v="0"/>
    <n v="0"/>
    <n v="0"/>
    <n v="0"/>
    <x v="0"/>
  </r>
  <r>
    <x v="0"/>
    <s v="秩父郡小鹿野町"/>
    <x v="65"/>
    <x v="4"/>
    <n v="0"/>
    <n v="0"/>
    <n v="0"/>
    <n v="0"/>
    <n v="0"/>
    <n v="0"/>
    <x v="0"/>
  </r>
  <r>
    <x v="0"/>
    <s v="秩父郡小鹿野町"/>
    <x v="65"/>
    <x v="5"/>
    <n v="6"/>
    <n v="1.58"/>
    <n v="1"/>
    <n v="0.39"/>
    <n v="5"/>
    <n v="4.2699999999999996"/>
    <x v="0"/>
  </r>
  <r>
    <x v="0"/>
    <s v="秩父郡小鹿野町"/>
    <x v="65"/>
    <x v="6"/>
    <n v="79"/>
    <n v="20.84"/>
    <n v="52"/>
    <n v="20.309999999999999"/>
    <n v="26"/>
    <n v="22.22"/>
    <x v="12"/>
  </r>
  <r>
    <x v="0"/>
    <s v="秩父郡小鹿野町"/>
    <x v="65"/>
    <x v="7"/>
    <n v="2"/>
    <n v="0.53"/>
    <n v="0"/>
    <n v="0"/>
    <n v="2"/>
    <n v="1.71"/>
    <x v="0"/>
  </r>
  <r>
    <x v="0"/>
    <s v="秩父郡小鹿野町"/>
    <x v="65"/>
    <x v="8"/>
    <n v="4"/>
    <n v="1.06"/>
    <n v="1"/>
    <n v="0.39"/>
    <n v="3"/>
    <n v="2.56"/>
    <x v="0"/>
  </r>
  <r>
    <x v="0"/>
    <s v="秩父郡小鹿野町"/>
    <x v="65"/>
    <x v="9"/>
    <n v="14"/>
    <n v="3.69"/>
    <n v="9"/>
    <n v="3.52"/>
    <n v="5"/>
    <n v="4.2699999999999996"/>
    <x v="0"/>
  </r>
  <r>
    <x v="0"/>
    <s v="秩父郡小鹿野町"/>
    <x v="65"/>
    <x v="10"/>
    <n v="49"/>
    <n v="12.93"/>
    <n v="46"/>
    <n v="17.97"/>
    <n v="3"/>
    <n v="2.56"/>
    <x v="0"/>
  </r>
  <r>
    <x v="0"/>
    <s v="秩父郡小鹿野町"/>
    <x v="65"/>
    <x v="11"/>
    <n v="42"/>
    <n v="11.08"/>
    <n v="38"/>
    <n v="14.84"/>
    <n v="3"/>
    <n v="2.56"/>
    <x v="0"/>
  </r>
  <r>
    <x v="0"/>
    <s v="秩父郡小鹿野町"/>
    <x v="65"/>
    <x v="12"/>
    <n v="6"/>
    <n v="1.58"/>
    <n v="4"/>
    <n v="1.56"/>
    <n v="0"/>
    <n v="0"/>
    <x v="0"/>
  </r>
  <r>
    <x v="0"/>
    <s v="秩父郡小鹿野町"/>
    <x v="65"/>
    <x v="13"/>
    <n v="12"/>
    <n v="3.17"/>
    <n v="7"/>
    <n v="2.73"/>
    <n v="4"/>
    <n v="3.42"/>
    <x v="0"/>
  </r>
  <r>
    <x v="0"/>
    <s v="秩父郡小鹿野町"/>
    <x v="65"/>
    <x v="14"/>
    <n v="11"/>
    <n v="2.9"/>
    <n v="9"/>
    <n v="3.52"/>
    <n v="1"/>
    <n v="0.85"/>
    <x v="0"/>
  </r>
  <r>
    <x v="0"/>
    <s v="秩父郡東秩父村"/>
    <x v="66"/>
    <x v="0"/>
    <n v="0"/>
    <n v="0"/>
    <n v="0"/>
    <n v="0"/>
    <n v="0"/>
    <n v="0"/>
    <x v="0"/>
  </r>
  <r>
    <x v="0"/>
    <s v="秩父郡東秩父村"/>
    <x v="66"/>
    <x v="1"/>
    <n v="23"/>
    <n v="23"/>
    <n v="17"/>
    <n v="24.29"/>
    <n v="6"/>
    <n v="26.09"/>
    <x v="0"/>
  </r>
  <r>
    <x v="0"/>
    <s v="秩父郡東秩父村"/>
    <x v="66"/>
    <x v="2"/>
    <n v="25"/>
    <n v="25"/>
    <n v="16"/>
    <n v="22.86"/>
    <n v="9"/>
    <n v="39.130000000000003"/>
    <x v="0"/>
  </r>
  <r>
    <x v="0"/>
    <s v="秩父郡東秩父村"/>
    <x v="66"/>
    <x v="3"/>
    <n v="1"/>
    <n v="1"/>
    <n v="0"/>
    <n v="0"/>
    <n v="0"/>
    <n v="0"/>
    <x v="0"/>
  </r>
  <r>
    <x v="0"/>
    <s v="秩父郡東秩父村"/>
    <x v="66"/>
    <x v="4"/>
    <n v="1"/>
    <n v="1"/>
    <n v="1"/>
    <n v="1.43"/>
    <n v="0"/>
    <n v="0"/>
    <x v="0"/>
  </r>
  <r>
    <x v="0"/>
    <s v="秩父郡東秩父村"/>
    <x v="66"/>
    <x v="5"/>
    <n v="2"/>
    <n v="2"/>
    <n v="0"/>
    <n v="0"/>
    <n v="1"/>
    <n v="4.3499999999999996"/>
    <x v="0"/>
  </r>
  <r>
    <x v="0"/>
    <s v="秩父郡東秩父村"/>
    <x v="66"/>
    <x v="6"/>
    <n v="15"/>
    <n v="15"/>
    <n v="13"/>
    <n v="18.57"/>
    <n v="2"/>
    <n v="8.6999999999999993"/>
    <x v="0"/>
  </r>
  <r>
    <x v="0"/>
    <s v="秩父郡東秩父村"/>
    <x v="66"/>
    <x v="7"/>
    <n v="0"/>
    <n v="0"/>
    <n v="0"/>
    <n v="0"/>
    <n v="0"/>
    <n v="0"/>
    <x v="0"/>
  </r>
  <r>
    <x v="0"/>
    <s v="秩父郡東秩父村"/>
    <x v="66"/>
    <x v="8"/>
    <n v="0"/>
    <n v="0"/>
    <n v="0"/>
    <n v="0"/>
    <n v="0"/>
    <n v="0"/>
    <x v="0"/>
  </r>
  <r>
    <x v="0"/>
    <s v="秩父郡東秩父村"/>
    <x v="66"/>
    <x v="9"/>
    <n v="4"/>
    <n v="4"/>
    <n v="1"/>
    <n v="1.43"/>
    <n v="3"/>
    <n v="13.04"/>
    <x v="0"/>
  </r>
  <r>
    <x v="0"/>
    <s v="秩父郡東秩父村"/>
    <x v="66"/>
    <x v="10"/>
    <n v="8"/>
    <n v="8"/>
    <n v="8"/>
    <n v="11.43"/>
    <n v="0"/>
    <n v="0"/>
    <x v="0"/>
  </r>
  <r>
    <x v="0"/>
    <s v="秩父郡東秩父村"/>
    <x v="66"/>
    <x v="11"/>
    <n v="8"/>
    <n v="8"/>
    <n v="8"/>
    <n v="11.43"/>
    <n v="0"/>
    <n v="0"/>
    <x v="0"/>
  </r>
  <r>
    <x v="0"/>
    <s v="秩父郡東秩父村"/>
    <x v="66"/>
    <x v="12"/>
    <n v="2"/>
    <n v="2"/>
    <n v="1"/>
    <n v="1.43"/>
    <n v="0"/>
    <n v="0"/>
    <x v="0"/>
  </r>
  <r>
    <x v="0"/>
    <s v="秩父郡東秩父村"/>
    <x v="66"/>
    <x v="13"/>
    <n v="6"/>
    <n v="6"/>
    <n v="2"/>
    <n v="2.86"/>
    <n v="1"/>
    <n v="4.3499999999999996"/>
    <x v="0"/>
  </r>
  <r>
    <x v="0"/>
    <s v="秩父郡東秩父村"/>
    <x v="66"/>
    <x v="14"/>
    <n v="5"/>
    <n v="5"/>
    <n v="3"/>
    <n v="4.29"/>
    <n v="1"/>
    <n v="4.3499999999999996"/>
    <x v="0"/>
  </r>
  <r>
    <x v="0"/>
    <s v="児玉郡美里町"/>
    <x v="67"/>
    <x v="0"/>
    <n v="0"/>
    <n v="0"/>
    <n v="0"/>
    <n v="0"/>
    <n v="0"/>
    <n v="0"/>
    <x v="0"/>
  </r>
  <r>
    <x v="0"/>
    <s v="児玉郡美里町"/>
    <x v="67"/>
    <x v="1"/>
    <n v="52"/>
    <n v="22.13"/>
    <n v="23"/>
    <n v="18.850000000000001"/>
    <n v="29"/>
    <n v="26.36"/>
    <x v="0"/>
  </r>
  <r>
    <x v="0"/>
    <s v="児玉郡美里町"/>
    <x v="67"/>
    <x v="2"/>
    <n v="40"/>
    <n v="17.02"/>
    <n v="11"/>
    <n v="9.02"/>
    <n v="29"/>
    <n v="26.36"/>
    <x v="0"/>
  </r>
  <r>
    <x v="0"/>
    <s v="児玉郡美里町"/>
    <x v="67"/>
    <x v="3"/>
    <n v="1"/>
    <n v="0.43"/>
    <n v="0"/>
    <n v="0"/>
    <n v="0"/>
    <n v="0"/>
    <x v="0"/>
  </r>
  <r>
    <x v="0"/>
    <s v="児玉郡美里町"/>
    <x v="67"/>
    <x v="4"/>
    <n v="1"/>
    <n v="0.43"/>
    <n v="0"/>
    <n v="0"/>
    <n v="1"/>
    <n v="0.91"/>
    <x v="0"/>
  </r>
  <r>
    <x v="0"/>
    <s v="児玉郡美里町"/>
    <x v="67"/>
    <x v="5"/>
    <n v="7"/>
    <n v="2.98"/>
    <n v="0"/>
    <n v="0"/>
    <n v="7"/>
    <n v="6.36"/>
    <x v="0"/>
  </r>
  <r>
    <x v="0"/>
    <s v="児玉郡美里町"/>
    <x v="67"/>
    <x v="6"/>
    <n v="41"/>
    <n v="17.45"/>
    <n v="22"/>
    <n v="18.03"/>
    <n v="19"/>
    <n v="17.27"/>
    <x v="0"/>
  </r>
  <r>
    <x v="0"/>
    <s v="児玉郡美里町"/>
    <x v="67"/>
    <x v="7"/>
    <n v="2"/>
    <n v="0.85"/>
    <n v="1"/>
    <n v="0.82"/>
    <n v="1"/>
    <n v="0.91"/>
    <x v="0"/>
  </r>
  <r>
    <x v="0"/>
    <s v="児玉郡美里町"/>
    <x v="67"/>
    <x v="8"/>
    <n v="3"/>
    <n v="1.28"/>
    <n v="1"/>
    <n v="0.82"/>
    <n v="2"/>
    <n v="1.82"/>
    <x v="0"/>
  </r>
  <r>
    <x v="0"/>
    <s v="児玉郡美里町"/>
    <x v="67"/>
    <x v="9"/>
    <n v="5"/>
    <n v="2.13"/>
    <n v="2"/>
    <n v="1.64"/>
    <n v="3"/>
    <n v="2.73"/>
    <x v="0"/>
  </r>
  <r>
    <x v="0"/>
    <s v="児玉郡美里町"/>
    <x v="67"/>
    <x v="10"/>
    <n v="21"/>
    <n v="8.94"/>
    <n v="20"/>
    <n v="16.39"/>
    <n v="1"/>
    <n v="0.91"/>
    <x v="0"/>
  </r>
  <r>
    <x v="0"/>
    <s v="児玉郡美里町"/>
    <x v="67"/>
    <x v="11"/>
    <n v="26"/>
    <n v="11.06"/>
    <n v="20"/>
    <n v="16.39"/>
    <n v="6"/>
    <n v="5.45"/>
    <x v="0"/>
  </r>
  <r>
    <x v="0"/>
    <s v="児玉郡美里町"/>
    <x v="67"/>
    <x v="12"/>
    <n v="3"/>
    <n v="1.28"/>
    <n v="2"/>
    <n v="1.64"/>
    <n v="0"/>
    <n v="0"/>
    <x v="0"/>
  </r>
  <r>
    <x v="0"/>
    <s v="児玉郡美里町"/>
    <x v="67"/>
    <x v="13"/>
    <n v="18"/>
    <n v="7.66"/>
    <n v="10"/>
    <n v="8.1999999999999993"/>
    <n v="7"/>
    <n v="6.36"/>
    <x v="0"/>
  </r>
  <r>
    <x v="0"/>
    <s v="児玉郡美里町"/>
    <x v="67"/>
    <x v="14"/>
    <n v="15"/>
    <n v="6.38"/>
    <n v="10"/>
    <n v="8.1999999999999993"/>
    <n v="5"/>
    <n v="4.55"/>
    <x v="0"/>
  </r>
  <r>
    <x v="0"/>
    <s v="児玉郡神川町"/>
    <x v="68"/>
    <x v="0"/>
    <n v="0"/>
    <n v="0"/>
    <n v="0"/>
    <n v="0"/>
    <n v="0"/>
    <n v="0"/>
    <x v="0"/>
  </r>
  <r>
    <x v="0"/>
    <s v="児玉郡神川町"/>
    <x v="68"/>
    <x v="1"/>
    <n v="59"/>
    <n v="23.6"/>
    <n v="27"/>
    <n v="19.71"/>
    <n v="32"/>
    <n v="29.09"/>
    <x v="0"/>
  </r>
  <r>
    <x v="0"/>
    <s v="児玉郡神川町"/>
    <x v="68"/>
    <x v="2"/>
    <n v="29"/>
    <n v="11.6"/>
    <n v="11"/>
    <n v="8.0299999999999994"/>
    <n v="18"/>
    <n v="16.36"/>
    <x v="0"/>
  </r>
  <r>
    <x v="0"/>
    <s v="児玉郡神川町"/>
    <x v="68"/>
    <x v="3"/>
    <n v="6"/>
    <n v="2.4"/>
    <n v="0"/>
    <n v="0"/>
    <n v="6"/>
    <n v="5.45"/>
    <x v="0"/>
  </r>
  <r>
    <x v="0"/>
    <s v="児玉郡神川町"/>
    <x v="68"/>
    <x v="4"/>
    <n v="0"/>
    <n v="0"/>
    <n v="0"/>
    <n v="0"/>
    <n v="0"/>
    <n v="0"/>
    <x v="0"/>
  </r>
  <r>
    <x v="0"/>
    <s v="児玉郡神川町"/>
    <x v="68"/>
    <x v="5"/>
    <n v="5"/>
    <n v="2"/>
    <n v="2"/>
    <n v="1.46"/>
    <n v="3"/>
    <n v="2.73"/>
    <x v="0"/>
  </r>
  <r>
    <x v="0"/>
    <s v="児玉郡神川町"/>
    <x v="68"/>
    <x v="6"/>
    <n v="46"/>
    <n v="18.399999999999999"/>
    <n v="20"/>
    <n v="14.6"/>
    <n v="26"/>
    <n v="23.64"/>
    <x v="0"/>
  </r>
  <r>
    <x v="0"/>
    <s v="児玉郡神川町"/>
    <x v="68"/>
    <x v="7"/>
    <n v="0"/>
    <n v="0"/>
    <n v="0"/>
    <n v="0"/>
    <n v="0"/>
    <n v="0"/>
    <x v="0"/>
  </r>
  <r>
    <x v="0"/>
    <s v="児玉郡神川町"/>
    <x v="68"/>
    <x v="8"/>
    <n v="17"/>
    <n v="6.8"/>
    <n v="8"/>
    <n v="5.84"/>
    <n v="9"/>
    <n v="8.18"/>
    <x v="0"/>
  </r>
  <r>
    <x v="0"/>
    <s v="児玉郡神川町"/>
    <x v="68"/>
    <x v="9"/>
    <n v="3"/>
    <n v="1.2"/>
    <n v="3"/>
    <n v="2.19"/>
    <n v="0"/>
    <n v="0"/>
    <x v="0"/>
  </r>
  <r>
    <x v="0"/>
    <s v="児玉郡神川町"/>
    <x v="68"/>
    <x v="10"/>
    <n v="26"/>
    <n v="10.4"/>
    <n v="23"/>
    <n v="16.79"/>
    <n v="2"/>
    <n v="1.82"/>
    <x v="0"/>
  </r>
  <r>
    <x v="0"/>
    <s v="児玉郡神川町"/>
    <x v="68"/>
    <x v="11"/>
    <n v="29"/>
    <n v="11.6"/>
    <n v="23"/>
    <n v="16.79"/>
    <n v="5"/>
    <n v="4.55"/>
    <x v="0"/>
  </r>
  <r>
    <x v="0"/>
    <s v="児玉郡神川町"/>
    <x v="68"/>
    <x v="12"/>
    <n v="6"/>
    <n v="2.4"/>
    <n v="5"/>
    <n v="3.65"/>
    <n v="1"/>
    <n v="0.91"/>
    <x v="0"/>
  </r>
  <r>
    <x v="0"/>
    <s v="児玉郡神川町"/>
    <x v="68"/>
    <x v="13"/>
    <n v="10"/>
    <n v="4"/>
    <n v="6"/>
    <n v="4.38"/>
    <n v="4"/>
    <n v="3.64"/>
    <x v="0"/>
  </r>
  <r>
    <x v="0"/>
    <s v="児玉郡神川町"/>
    <x v="68"/>
    <x v="14"/>
    <n v="14"/>
    <n v="5.6"/>
    <n v="9"/>
    <n v="6.57"/>
    <n v="4"/>
    <n v="3.64"/>
    <x v="0"/>
  </r>
  <r>
    <x v="0"/>
    <s v="児玉郡上里町"/>
    <x v="69"/>
    <x v="0"/>
    <n v="0"/>
    <n v="0"/>
    <n v="0"/>
    <n v="0"/>
    <n v="0"/>
    <n v="0"/>
    <x v="0"/>
  </r>
  <r>
    <x v="0"/>
    <s v="児玉郡上里町"/>
    <x v="69"/>
    <x v="1"/>
    <n v="95"/>
    <n v="17.399999999999999"/>
    <n v="39"/>
    <n v="13.36"/>
    <n v="56"/>
    <n v="22.67"/>
    <x v="0"/>
  </r>
  <r>
    <x v="0"/>
    <s v="児玉郡上里町"/>
    <x v="69"/>
    <x v="2"/>
    <n v="54"/>
    <n v="9.89"/>
    <n v="19"/>
    <n v="6.51"/>
    <n v="35"/>
    <n v="14.17"/>
    <x v="0"/>
  </r>
  <r>
    <x v="0"/>
    <s v="児玉郡上里町"/>
    <x v="69"/>
    <x v="3"/>
    <n v="2"/>
    <n v="0.37"/>
    <n v="0"/>
    <n v="0"/>
    <n v="2"/>
    <n v="0.81"/>
    <x v="0"/>
  </r>
  <r>
    <x v="0"/>
    <s v="児玉郡上里町"/>
    <x v="69"/>
    <x v="4"/>
    <n v="6"/>
    <n v="1.1000000000000001"/>
    <n v="0"/>
    <n v="0"/>
    <n v="6"/>
    <n v="2.4300000000000002"/>
    <x v="0"/>
  </r>
  <r>
    <x v="0"/>
    <s v="児玉郡上里町"/>
    <x v="69"/>
    <x v="5"/>
    <n v="7"/>
    <n v="1.28"/>
    <n v="4"/>
    <n v="1.37"/>
    <n v="3"/>
    <n v="1.21"/>
    <x v="0"/>
  </r>
  <r>
    <x v="0"/>
    <s v="児玉郡上里町"/>
    <x v="69"/>
    <x v="6"/>
    <n v="123"/>
    <n v="22.53"/>
    <n v="59"/>
    <n v="20.21"/>
    <n v="64"/>
    <n v="25.91"/>
    <x v="0"/>
  </r>
  <r>
    <x v="0"/>
    <s v="児玉郡上里町"/>
    <x v="69"/>
    <x v="7"/>
    <n v="4"/>
    <n v="0.73"/>
    <n v="1"/>
    <n v="0.34"/>
    <n v="3"/>
    <n v="1.21"/>
    <x v="0"/>
  </r>
  <r>
    <x v="0"/>
    <s v="児玉郡上里町"/>
    <x v="69"/>
    <x v="8"/>
    <n v="30"/>
    <n v="5.49"/>
    <n v="12"/>
    <n v="4.1100000000000003"/>
    <n v="18"/>
    <n v="7.29"/>
    <x v="0"/>
  </r>
  <r>
    <x v="0"/>
    <s v="児玉郡上里町"/>
    <x v="69"/>
    <x v="9"/>
    <n v="16"/>
    <n v="2.93"/>
    <n v="9"/>
    <n v="3.08"/>
    <n v="7"/>
    <n v="2.83"/>
    <x v="0"/>
  </r>
  <r>
    <x v="0"/>
    <s v="児玉郡上里町"/>
    <x v="69"/>
    <x v="10"/>
    <n v="58"/>
    <n v="10.62"/>
    <n v="46"/>
    <n v="15.75"/>
    <n v="12"/>
    <n v="4.8600000000000003"/>
    <x v="0"/>
  </r>
  <r>
    <x v="0"/>
    <s v="児玉郡上里町"/>
    <x v="69"/>
    <x v="11"/>
    <n v="81"/>
    <n v="14.84"/>
    <n v="63"/>
    <n v="21.58"/>
    <n v="18"/>
    <n v="7.29"/>
    <x v="0"/>
  </r>
  <r>
    <x v="0"/>
    <s v="児玉郡上里町"/>
    <x v="69"/>
    <x v="12"/>
    <n v="23"/>
    <n v="4.21"/>
    <n v="10"/>
    <n v="3.42"/>
    <n v="7"/>
    <n v="2.83"/>
    <x v="0"/>
  </r>
  <r>
    <x v="0"/>
    <s v="児玉郡上里町"/>
    <x v="69"/>
    <x v="13"/>
    <n v="28"/>
    <n v="5.13"/>
    <n v="17"/>
    <n v="5.82"/>
    <n v="10"/>
    <n v="4.05"/>
    <x v="12"/>
  </r>
  <r>
    <x v="0"/>
    <s v="児玉郡上里町"/>
    <x v="69"/>
    <x v="14"/>
    <n v="19"/>
    <n v="3.48"/>
    <n v="13"/>
    <n v="4.45"/>
    <n v="6"/>
    <n v="2.4300000000000002"/>
    <x v="0"/>
  </r>
  <r>
    <x v="0"/>
    <s v="大里郡寄居町"/>
    <x v="70"/>
    <x v="0"/>
    <n v="0"/>
    <n v="0"/>
    <n v="0"/>
    <n v="0"/>
    <n v="0"/>
    <n v="0"/>
    <x v="0"/>
  </r>
  <r>
    <x v="0"/>
    <s v="大里郡寄居町"/>
    <x v="70"/>
    <x v="1"/>
    <n v="111"/>
    <n v="15.18"/>
    <n v="50"/>
    <n v="11.79"/>
    <n v="61"/>
    <n v="20.399999999999999"/>
    <x v="0"/>
  </r>
  <r>
    <x v="0"/>
    <s v="大里郡寄居町"/>
    <x v="70"/>
    <x v="2"/>
    <n v="79"/>
    <n v="10.81"/>
    <n v="29"/>
    <n v="6.84"/>
    <n v="50"/>
    <n v="16.72"/>
    <x v="0"/>
  </r>
  <r>
    <x v="0"/>
    <s v="大里郡寄居町"/>
    <x v="70"/>
    <x v="3"/>
    <n v="1"/>
    <n v="0.14000000000000001"/>
    <n v="0"/>
    <n v="0"/>
    <n v="1"/>
    <n v="0.33"/>
    <x v="0"/>
  </r>
  <r>
    <x v="0"/>
    <s v="大里郡寄居町"/>
    <x v="70"/>
    <x v="4"/>
    <n v="3"/>
    <n v="0.41"/>
    <n v="0"/>
    <n v="0"/>
    <n v="3"/>
    <n v="1"/>
    <x v="0"/>
  </r>
  <r>
    <x v="0"/>
    <s v="大里郡寄居町"/>
    <x v="70"/>
    <x v="5"/>
    <n v="10"/>
    <n v="1.37"/>
    <n v="0"/>
    <n v="0"/>
    <n v="10"/>
    <n v="3.34"/>
    <x v="0"/>
  </r>
  <r>
    <x v="0"/>
    <s v="大里郡寄居町"/>
    <x v="70"/>
    <x v="6"/>
    <n v="153"/>
    <n v="20.93"/>
    <n v="88"/>
    <n v="20.75"/>
    <n v="65"/>
    <n v="21.74"/>
    <x v="0"/>
  </r>
  <r>
    <x v="0"/>
    <s v="大里郡寄居町"/>
    <x v="70"/>
    <x v="7"/>
    <n v="4"/>
    <n v="0.55000000000000004"/>
    <n v="1"/>
    <n v="0.24"/>
    <n v="3"/>
    <n v="1"/>
    <x v="0"/>
  </r>
  <r>
    <x v="0"/>
    <s v="大里郡寄居町"/>
    <x v="70"/>
    <x v="8"/>
    <n v="41"/>
    <n v="5.61"/>
    <n v="10"/>
    <n v="2.36"/>
    <n v="31"/>
    <n v="10.37"/>
    <x v="0"/>
  </r>
  <r>
    <x v="0"/>
    <s v="大里郡寄居町"/>
    <x v="70"/>
    <x v="9"/>
    <n v="28"/>
    <n v="3.83"/>
    <n v="15"/>
    <n v="3.54"/>
    <n v="13"/>
    <n v="4.3499999999999996"/>
    <x v="0"/>
  </r>
  <r>
    <x v="0"/>
    <s v="大里郡寄居町"/>
    <x v="70"/>
    <x v="10"/>
    <n v="102"/>
    <n v="13.95"/>
    <n v="91"/>
    <n v="21.46"/>
    <n v="10"/>
    <n v="3.34"/>
    <x v="0"/>
  </r>
  <r>
    <x v="0"/>
    <s v="大里郡寄居町"/>
    <x v="70"/>
    <x v="11"/>
    <n v="91"/>
    <n v="12.45"/>
    <n v="73"/>
    <n v="17.22"/>
    <n v="18"/>
    <n v="6.02"/>
    <x v="0"/>
  </r>
  <r>
    <x v="0"/>
    <s v="大里郡寄居町"/>
    <x v="70"/>
    <x v="12"/>
    <n v="24"/>
    <n v="3.28"/>
    <n v="19"/>
    <n v="4.4800000000000004"/>
    <n v="4"/>
    <n v="1.34"/>
    <x v="0"/>
  </r>
  <r>
    <x v="0"/>
    <s v="大里郡寄居町"/>
    <x v="70"/>
    <x v="13"/>
    <n v="44"/>
    <n v="6.02"/>
    <n v="26"/>
    <n v="6.13"/>
    <n v="15"/>
    <n v="5.0199999999999996"/>
    <x v="0"/>
  </r>
  <r>
    <x v="0"/>
    <s v="大里郡寄居町"/>
    <x v="70"/>
    <x v="14"/>
    <n v="40"/>
    <n v="5.47"/>
    <n v="22"/>
    <n v="5.19"/>
    <n v="15"/>
    <n v="5.0199999999999996"/>
    <x v="12"/>
  </r>
  <r>
    <x v="0"/>
    <s v="南埼玉郡宮代町"/>
    <x v="71"/>
    <x v="0"/>
    <n v="0"/>
    <n v="0"/>
    <n v="0"/>
    <n v="0"/>
    <n v="0"/>
    <n v="0"/>
    <x v="0"/>
  </r>
  <r>
    <x v="0"/>
    <s v="南埼玉郡宮代町"/>
    <x v="71"/>
    <x v="1"/>
    <n v="100"/>
    <n v="15.15"/>
    <n v="29"/>
    <n v="6.9"/>
    <n v="71"/>
    <n v="29.58"/>
    <x v="0"/>
  </r>
  <r>
    <x v="0"/>
    <s v="南埼玉郡宮代町"/>
    <x v="71"/>
    <x v="2"/>
    <n v="49"/>
    <n v="7.42"/>
    <n v="23"/>
    <n v="5.48"/>
    <n v="26"/>
    <n v="10.83"/>
    <x v="0"/>
  </r>
  <r>
    <x v="0"/>
    <s v="南埼玉郡宮代町"/>
    <x v="71"/>
    <x v="3"/>
    <n v="1"/>
    <n v="0.15"/>
    <n v="0"/>
    <n v="0"/>
    <n v="1"/>
    <n v="0.42"/>
    <x v="0"/>
  </r>
  <r>
    <x v="0"/>
    <s v="南埼玉郡宮代町"/>
    <x v="71"/>
    <x v="4"/>
    <n v="5"/>
    <n v="0.76"/>
    <n v="0"/>
    <n v="0"/>
    <n v="5"/>
    <n v="2.08"/>
    <x v="0"/>
  </r>
  <r>
    <x v="0"/>
    <s v="南埼玉郡宮代町"/>
    <x v="71"/>
    <x v="5"/>
    <n v="5"/>
    <n v="0.76"/>
    <n v="2"/>
    <n v="0.48"/>
    <n v="3"/>
    <n v="1.25"/>
    <x v="0"/>
  </r>
  <r>
    <x v="0"/>
    <s v="南埼玉郡宮代町"/>
    <x v="71"/>
    <x v="6"/>
    <n v="119"/>
    <n v="18.03"/>
    <n v="75"/>
    <n v="17.86"/>
    <n v="44"/>
    <n v="18.329999999999998"/>
    <x v="0"/>
  </r>
  <r>
    <x v="0"/>
    <s v="南埼玉郡宮代町"/>
    <x v="71"/>
    <x v="7"/>
    <n v="1"/>
    <n v="0.15"/>
    <n v="0"/>
    <n v="0"/>
    <n v="1"/>
    <n v="0.42"/>
    <x v="0"/>
  </r>
  <r>
    <x v="0"/>
    <s v="南埼玉郡宮代町"/>
    <x v="71"/>
    <x v="8"/>
    <n v="100"/>
    <n v="15.15"/>
    <n v="66"/>
    <n v="15.71"/>
    <n v="34"/>
    <n v="14.17"/>
    <x v="0"/>
  </r>
  <r>
    <x v="0"/>
    <s v="南埼玉郡宮代町"/>
    <x v="71"/>
    <x v="9"/>
    <n v="33"/>
    <n v="5"/>
    <n v="22"/>
    <n v="5.24"/>
    <n v="11"/>
    <n v="4.58"/>
    <x v="0"/>
  </r>
  <r>
    <x v="0"/>
    <s v="南埼玉郡宮代町"/>
    <x v="71"/>
    <x v="10"/>
    <n v="72"/>
    <n v="10.91"/>
    <n v="61"/>
    <n v="14.52"/>
    <n v="11"/>
    <n v="4.58"/>
    <x v="0"/>
  </r>
  <r>
    <x v="0"/>
    <s v="南埼玉郡宮代町"/>
    <x v="71"/>
    <x v="11"/>
    <n v="104"/>
    <n v="15.76"/>
    <n v="89"/>
    <n v="21.19"/>
    <n v="15"/>
    <n v="6.25"/>
    <x v="0"/>
  </r>
  <r>
    <x v="0"/>
    <s v="南埼玉郡宮代町"/>
    <x v="71"/>
    <x v="12"/>
    <n v="24"/>
    <n v="3.64"/>
    <n v="21"/>
    <n v="5"/>
    <n v="3"/>
    <n v="1.25"/>
    <x v="0"/>
  </r>
  <r>
    <x v="0"/>
    <s v="南埼玉郡宮代町"/>
    <x v="71"/>
    <x v="13"/>
    <n v="28"/>
    <n v="4.24"/>
    <n v="20"/>
    <n v="4.76"/>
    <n v="8"/>
    <n v="3.33"/>
    <x v="0"/>
  </r>
  <r>
    <x v="0"/>
    <s v="南埼玉郡宮代町"/>
    <x v="71"/>
    <x v="14"/>
    <n v="19"/>
    <n v="2.88"/>
    <n v="12"/>
    <n v="2.86"/>
    <n v="7"/>
    <n v="2.92"/>
    <x v="0"/>
  </r>
  <r>
    <x v="0"/>
    <s v="北葛飾郡杉戸町"/>
    <x v="72"/>
    <x v="0"/>
    <n v="0"/>
    <n v="0"/>
    <n v="0"/>
    <n v="0"/>
    <n v="0"/>
    <n v="0"/>
    <x v="0"/>
  </r>
  <r>
    <x v="0"/>
    <s v="北葛飾郡杉戸町"/>
    <x v="72"/>
    <x v="1"/>
    <n v="163"/>
    <n v="18.559999999999999"/>
    <n v="60"/>
    <n v="13.19"/>
    <n v="103"/>
    <n v="24.88"/>
    <x v="0"/>
  </r>
  <r>
    <x v="0"/>
    <s v="北葛飾郡杉戸町"/>
    <x v="72"/>
    <x v="2"/>
    <n v="101"/>
    <n v="11.5"/>
    <n v="42"/>
    <n v="9.23"/>
    <n v="59"/>
    <n v="14.25"/>
    <x v="0"/>
  </r>
  <r>
    <x v="0"/>
    <s v="北葛飾郡杉戸町"/>
    <x v="72"/>
    <x v="3"/>
    <n v="0"/>
    <n v="0"/>
    <n v="0"/>
    <n v="0"/>
    <n v="0"/>
    <n v="0"/>
    <x v="0"/>
  </r>
  <r>
    <x v="0"/>
    <s v="北葛飾郡杉戸町"/>
    <x v="72"/>
    <x v="4"/>
    <n v="5"/>
    <n v="0.56999999999999995"/>
    <n v="1"/>
    <n v="0.22"/>
    <n v="4"/>
    <n v="0.97"/>
    <x v="0"/>
  </r>
  <r>
    <x v="0"/>
    <s v="北葛飾郡杉戸町"/>
    <x v="72"/>
    <x v="5"/>
    <n v="16"/>
    <n v="1.82"/>
    <n v="3"/>
    <n v="0.66"/>
    <n v="13"/>
    <n v="3.14"/>
    <x v="0"/>
  </r>
  <r>
    <x v="0"/>
    <s v="北葛飾郡杉戸町"/>
    <x v="72"/>
    <x v="6"/>
    <n v="203"/>
    <n v="23.12"/>
    <n v="106"/>
    <n v="23.3"/>
    <n v="97"/>
    <n v="23.43"/>
    <x v="0"/>
  </r>
  <r>
    <x v="0"/>
    <s v="北葛飾郡杉戸町"/>
    <x v="72"/>
    <x v="7"/>
    <n v="3"/>
    <n v="0.34"/>
    <n v="1"/>
    <n v="0.22"/>
    <n v="2"/>
    <n v="0.48"/>
    <x v="0"/>
  </r>
  <r>
    <x v="0"/>
    <s v="北葛飾郡杉戸町"/>
    <x v="72"/>
    <x v="8"/>
    <n v="66"/>
    <n v="7.52"/>
    <n v="18"/>
    <n v="3.96"/>
    <n v="47"/>
    <n v="11.35"/>
    <x v="12"/>
  </r>
  <r>
    <x v="0"/>
    <s v="北葛飾郡杉戸町"/>
    <x v="72"/>
    <x v="9"/>
    <n v="31"/>
    <n v="3.53"/>
    <n v="15"/>
    <n v="3.3"/>
    <n v="15"/>
    <n v="3.62"/>
    <x v="0"/>
  </r>
  <r>
    <x v="0"/>
    <s v="北葛飾郡杉戸町"/>
    <x v="72"/>
    <x v="10"/>
    <n v="70"/>
    <n v="7.97"/>
    <n v="52"/>
    <n v="11.43"/>
    <n v="17"/>
    <n v="4.1100000000000003"/>
    <x v="0"/>
  </r>
  <r>
    <x v="0"/>
    <s v="北葛飾郡杉戸町"/>
    <x v="72"/>
    <x v="11"/>
    <n v="108"/>
    <n v="12.3"/>
    <n v="90"/>
    <n v="19.78"/>
    <n v="18"/>
    <n v="4.3499999999999996"/>
    <x v="0"/>
  </r>
  <r>
    <x v="0"/>
    <s v="北葛飾郡杉戸町"/>
    <x v="72"/>
    <x v="12"/>
    <n v="32"/>
    <n v="3.64"/>
    <n v="25"/>
    <n v="5.49"/>
    <n v="5"/>
    <n v="1.21"/>
    <x v="0"/>
  </r>
  <r>
    <x v="0"/>
    <s v="北葛飾郡杉戸町"/>
    <x v="72"/>
    <x v="13"/>
    <n v="38"/>
    <n v="4.33"/>
    <n v="26"/>
    <n v="5.71"/>
    <n v="8"/>
    <n v="1.93"/>
    <x v="0"/>
  </r>
  <r>
    <x v="0"/>
    <s v="北葛飾郡杉戸町"/>
    <x v="72"/>
    <x v="14"/>
    <n v="42"/>
    <n v="4.78"/>
    <n v="16"/>
    <n v="3.52"/>
    <n v="26"/>
    <n v="6.28"/>
    <x v="0"/>
  </r>
  <r>
    <x v="0"/>
    <s v="北葛飾郡松伏町"/>
    <x v="73"/>
    <x v="0"/>
    <n v="0"/>
    <n v="0"/>
    <n v="0"/>
    <n v="0"/>
    <n v="0"/>
    <n v="0"/>
    <x v="0"/>
  </r>
  <r>
    <x v="0"/>
    <s v="北葛飾郡松伏町"/>
    <x v="73"/>
    <x v="1"/>
    <n v="143"/>
    <n v="23.06"/>
    <n v="51"/>
    <n v="16.829999999999998"/>
    <n v="92"/>
    <n v="29.3"/>
    <x v="0"/>
  </r>
  <r>
    <x v="0"/>
    <s v="北葛飾郡松伏町"/>
    <x v="73"/>
    <x v="2"/>
    <n v="123"/>
    <n v="19.84"/>
    <n v="39"/>
    <n v="12.87"/>
    <n v="84"/>
    <n v="26.75"/>
    <x v="0"/>
  </r>
  <r>
    <x v="0"/>
    <s v="北葛飾郡松伏町"/>
    <x v="73"/>
    <x v="3"/>
    <n v="2"/>
    <n v="0.32"/>
    <n v="1"/>
    <n v="0.33"/>
    <n v="0"/>
    <n v="0"/>
    <x v="0"/>
  </r>
  <r>
    <x v="0"/>
    <s v="北葛飾郡松伏町"/>
    <x v="73"/>
    <x v="4"/>
    <n v="3"/>
    <n v="0.48"/>
    <n v="2"/>
    <n v="0.66"/>
    <n v="1"/>
    <n v="0.32"/>
    <x v="0"/>
  </r>
  <r>
    <x v="0"/>
    <s v="北葛飾郡松伏町"/>
    <x v="73"/>
    <x v="5"/>
    <n v="12"/>
    <n v="1.94"/>
    <n v="2"/>
    <n v="0.66"/>
    <n v="10"/>
    <n v="3.18"/>
    <x v="0"/>
  </r>
  <r>
    <x v="0"/>
    <s v="北葛飾郡松伏町"/>
    <x v="73"/>
    <x v="6"/>
    <n v="97"/>
    <n v="15.65"/>
    <n v="40"/>
    <n v="13.2"/>
    <n v="57"/>
    <n v="18.149999999999999"/>
    <x v="0"/>
  </r>
  <r>
    <x v="0"/>
    <s v="北葛飾郡松伏町"/>
    <x v="73"/>
    <x v="7"/>
    <n v="2"/>
    <n v="0.32"/>
    <n v="0"/>
    <n v="0"/>
    <n v="2"/>
    <n v="0.64"/>
    <x v="0"/>
  </r>
  <r>
    <x v="0"/>
    <s v="北葛飾郡松伏町"/>
    <x v="73"/>
    <x v="8"/>
    <n v="72"/>
    <n v="11.61"/>
    <n v="51"/>
    <n v="16.829999999999998"/>
    <n v="21"/>
    <n v="6.69"/>
    <x v="0"/>
  </r>
  <r>
    <x v="0"/>
    <s v="北葛飾郡松伏町"/>
    <x v="73"/>
    <x v="9"/>
    <n v="14"/>
    <n v="2.2599999999999998"/>
    <n v="6"/>
    <n v="1.98"/>
    <n v="8"/>
    <n v="2.5499999999999998"/>
    <x v="0"/>
  </r>
  <r>
    <x v="0"/>
    <s v="北葛飾郡松伏町"/>
    <x v="73"/>
    <x v="10"/>
    <n v="40"/>
    <n v="6.45"/>
    <n v="31"/>
    <n v="10.23"/>
    <n v="9"/>
    <n v="2.87"/>
    <x v="0"/>
  </r>
  <r>
    <x v="0"/>
    <s v="北葛飾郡松伏町"/>
    <x v="73"/>
    <x v="11"/>
    <n v="55"/>
    <n v="8.8699999999999992"/>
    <n v="44"/>
    <n v="14.52"/>
    <n v="10"/>
    <n v="3.18"/>
    <x v="0"/>
  </r>
  <r>
    <x v="0"/>
    <s v="北葛飾郡松伏町"/>
    <x v="73"/>
    <x v="12"/>
    <n v="14"/>
    <n v="2.2599999999999998"/>
    <n v="11"/>
    <n v="3.63"/>
    <n v="2"/>
    <n v="0.64"/>
    <x v="0"/>
  </r>
  <r>
    <x v="0"/>
    <s v="北葛飾郡松伏町"/>
    <x v="73"/>
    <x v="13"/>
    <n v="15"/>
    <n v="2.42"/>
    <n v="9"/>
    <n v="2.97"/>
    <n v="6"/>
    <n v="1.91"/>
    <x v="0"/>
  </r>
  <r>
    <x v="0"/>
    <s v="北葛飾郡松伏町"/>
    <x v="73"/>
    <x v="14"/>
    <n v="28"/>
    <n v="4.5199999999999996"/>
    <n v="16"/>
    <n v="5.28"/>
    <n v="12"/>
    <n v="3.82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59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2"/>
  </r>
  <r>
    <x v="0"/>
    <x v="0"/>
    <x v="0"/>
    <x v="3"/>
    <x v="3"/>
    <x v="3"/>
    <x v="3"/>
    <x v="3"/>
    <x v="3"/>
    <x v="3"/>
    <x v="3"/>
    <x v="3"/>
    <x v="3"/>
    <x v="3"/>
  </r>
  <r>
    <x v="0"/>
    <x v="0"/>
    <x v="0"/>
    <x v="4"/>
    <x v="4"/>
    <x v="4"/>
    <x v="4"/>
    <x v="4"/>
    <x v="4"/>
    <x v="4"/>
    <x v="4"/>
    <x v="4"/>
    <x v="4"/>
    <x v="4"/>
  </r>
  <r>
    <x v="0"/>
    <x v="0"/>
    <x v="0"/>
    <x v="5"/>
    <x v="5"/>
    <x v="5"/>
    <x v="5"/>
    <x v="5"/>
    <x v="5"/>
    <x v="5"/>
    <x v="5"/>
    <x v="5"/>
    <x v="5"/>
    <x v="5"/>
  </r>
  <r>
    <x v="0"/>
    <x v="0"/>
    <x v="0"/>
    <x v="6"/>
    <x v="6"/>
    <x v="6"/>
    <x v="6"/>
    <x v="6"/>
    <x v="6"/>
    <x v="6"/>
    <x v="6"/>
    <x v="6"/>
    <x v="6"/>
    <x v="0"/>
  </r>
  <r>
    <x v="0"/>
    <x v="0"/>
    <x v="0"/>
    <x v="7"/>
    <x v="7"/>
    <x v="7"/>
    <x v="7"/>
    <x v="7"/>
    <x v="7"/>
    <x v="7"/>
    <x v="7"/>
    <x v="7"/>
    <x v="7"/>
    <x v="6"/>
  </r>
  <r>
    <x v="0"/>
    <x v="0"/>
    <x v="0"/>
    <x v="8"/>
    <x v="8"/>
    <x v="8"/>
    <x v="8"/>
    <x v="8"/>
    <x v="8"/>
    <x v="8"/>
    <x v="8"/>
    <x v="8"/>
    <x v="8"/>
    <x v="7"/>
  </r>
  <r>
    <x v="0"/>
    <x v="0"/>
    <x v="0"/>
    <x v="9"/>
    <x v="9"/>
    <x v="9"/>
    <x v="9"/>
    <x v="9"/>
    <x v="9"/>
    <x v="9"/>
    <x v="9"/>
    <x v="9"/>
    <x v="9"/>
    <x v="0"/>
  </r>
  <r>
    <x v="0"/>
    <x v="0"/>
    <x v="0"/>
    <x v="10"/>
    <x v="10"/>
    <x v="10"/>
    <x v="10"/>
    <x v="10"/>
    <x v="10"/>
    <x v="10"/>
    <x v="10"/>
    <x v="10"/>
    <x v="10"/>
    <x v="8"/>
  </r>
  <r>
    <x v="0"/>
    <x v="0"/>
    <x v="0"/>
    <x v="11"/>
    <x v="11"/>
    <x v="11"/>
    <x v="11"/>
    <x v="11"/>
    <x v="11"/>
    <x v="11"/>
    <x v="11"/>
    <x v="11"/>
    <x v="11"/>
    <x v="4"/>
  </r>
  <r>
    <x v="0"/>
    <x v="0"/>
    <x v="0"/>
    <x v="12"/>
    <x v="12"/>
    <x v="12"/>
    <x v="12"/>
    <x v="12"/>
    <x v="12"/>
    <x v="12"/>
    <x v="12"/>
    <x v="12"/>
    <x v="12"/>
    <x v="4"/>
  </r>
  <r>
    <x v="0"/>
    <x v="0"/>
    <x v="0"/>
    <x v="13"/>
    <x v="13"/>
    <x v="13"/>
    <x v="13"/>
    <x v="13"/>
    <x v="13"/>
    <x v="13"/>
    <x v="13"/>
    <x v="13"/>
    <x v="13"/>
    <x v="3"/>
  </r>
  <r>
    <x v="0"/>
    <x v="0"/>
    <x v="0"/>
    <x v="14"/>
    <x v="14"/>
    <x v="14"/>
    <x v="14"/>
    <x v="14"/>
    <x v="14"/>
    <x v="14"/>
    <x v="14"/>
    <x v="14"/>
    <x v="14"/>
    <x v="4"/>
  </r>
  <r>
    <x v="0"/>
    <x v="0"/>
    <x v="0"/>
    <x v="15"/>
    <x v="15"/>
    <x v="15"/>
    <x v="15"/>
    <x v="15"/>
    <x v="15"/>
    <x v="15"/>
    <x v="15"/>
    <x v="15"/>
    <x v="15"/>
    <x v="0"/>
  </r>
  <r>
    <x v="0"/>
    <x v="0"/>
    <x v="0"/>
    <x v="16"/>
    <x v="16"/>
    <x v="16"/>
    <x v="16"/>
    <x v="16"/>
    <x v="16"/>
    <x v="16"/>
    <x v="16"/>
    <x v="16"/>
    <x v="16"/>
    <x v="8"/>
  </r>
  <r>
    <x v="0"/>
    <x v="0"/>
    <x v="0"/>
    <x v="17"/>
    <x v="17"/>
    <x v="17"/>
    <x v="17"/>
    <x v="17"/>
    <x v="17"/>
    <x v="17"/>
    <x v="17"/>
    <x v="17"/>
    <x v="17"/>
    <x v="4"/>
  </r>
  <r>
    <x v="0"/>
    <x v="0"/>
    <x v="0"/>
    <x v="18"/>
    <x v="18"/>
    <x v="18"/>
    <x v="18"/>
    <x v="18"/>
    <x v="18"/>
    <x v="18"/>
    <x v="18"/>
    <x v="18"/>
    <x v="18"/>
    <x v="4"/>
  </r>
  <r>
    <x v="0"/>
    <x v="0"/>
    <x v="0"/>
    <x v="19"/>
    <x v="19"/>
    <x v="19"/>
    <x v="19"/>
    <x v="19"/>
    <x v="19"/>
    <x v="19"/>
    <x v="19"/>
    <x v="19"/>
    <x v="19"/>
    <x v="4"/>
  </r>
  <r>
    <x v="0"/>
    <x v="1"/>
    <x v="1"/>
    <x v="2"/>
    <x v="2"/>
    <x v="2"/>
    <x v="0"/>
    <x v="20"/>
    <x v="20"/>
    <x v="20"/>
    <x v="20"/>
    <x v="20"/>
    <x v="20"/>
    <x v="0"/>
  </r>
  <r>
    <x v="0"/>
    <x v="1"/>
    <x v="1"/>
    <x v="0"/>
    <x v="0"/>
    <x v="0"/>
    <x v="1"/>
    <x v="21"/>
    <x v="21"/>
    <x v="21"/>
    <x v="21"/>
    <x v="21"/>
    <x v="21"/>
    <x v="4"/>
  </r>
  <r>
    <x v="0"/>
    <x v="1"/>
    <x v="1"/>
    <x v="1"/>
    <x v="1"/>
    <x v="1"/>
    <x v="2"/>
    <x v="22"/>
    <x v="22"/>
    <x v="22"/>
    <x v="22"/>
    <x v="22"/>
    <x v="22"/>
    <x v="4"/>
  </r>
  <r>
    <x v="0"/>
    <x v="1"/>
    <x v="1"/>
    <x v="4"/>
    <x v="4"/>
    <x v="4"/>
    <x v="3"/>
    <x v="23"/>
    <x v="5"/>
    <x v="23"/>
    <x v="23"/>
    <x v="23"/>
    <x v="23"/>
    <x v="4"/>
  </r>
  <r>
    <x v="0"/>
    <x v="1"/>
    <x v="1"/>
    <x v="5"/>
    <x v="5"/>
    <x v="5"/>
    <x v="4"/>
    <x v="24"/>
    <x v="23"/>
    <x v="24"/>
    <x v="24"/>
    <x v="24"/>
    <x v="24"/>
    <x v="4"/>
  </r>
  <r>
    <x v="0"/>
    <x v="1"/>
    <x v="1"/>
    <x v="3"/>
    <x v="3"/>
    <x v="3"/>
    <x v="5"/>
    <x v="25"/>
    <x v="24"/>
    <x v="25"/>
    <x v="25"/>
    <x v="25"/>
    <x v="25"/>
    <x v="0"/>
  </r>
  <r>
    <x v="0"/>
    <x v="1"/>
    <x v="1"/>
    <x v="7"/>
    <x v="7"/>
    <x v="7"/>
    <x v="6"/>
    <x v="26"/>
    <x v="25"/>
    <x v="26"/>
    <x v="26"/>
    <x v="26"/>
    <x v="26"/>
    <x v="0"/>
  </r>
  <r>
    <x v="0"/>
    <x v="1"/>
    <x v="1"/>
    <x v="10"/>
    <x v="10"/>
    <x v="10"/>
    <x v="7"/>
    <x v="27"/>
    <x v="26"/>
    <x v="27"/>
    <x v="27"/>
    <x v="27"/>
    <x v="27"/>
    <x v="4"/>
  </r>
  <r>
    <x v="0"/>
    <x v="1"/>
    <x v="1"/>
    <x v="9"/>
    <x v="9"/>
    <x v="9"/>
    <x v="8"/>
    <x v="28"/>
    <x v="27"/>
    <x v="28"/>
    <x v="28"/>
    <x v="28"/>
    <x v="28"/>
    <x v="4"/>
  </r>
  <r>
    <x v="0"/>
    <x v="1"/>
    <x v="1"/>
    <x v="6"/>
    <x v="6"/>
    <x v="6"/>
    <x v="9"/>
    <x v="29"/>
    <x v="28"/>
    <x v="29"/>
    <x v="29"/>
    <x v="29"/>
    <x v="29"/>
    <x v="4"/>
  </r>
  <r>
    <x v="0"/>
    <x v="1"/>
    <x v="1"/>
    <x v="8"/>
    <x v="8"/>
    <x v="8"/>
    <x v="10"/>
    <x v="30"/>
    <x v="29"/>
    <x v="30"/>
    <x v="30"/>
    <x v="30"/>
    <x v="30"/>
    <x v="3"/>
  </r>
  <r>
    <x v="0"/>
    <x v="1"/>
    <x v="1"/>
    <x v="13"/>
    <x v="13"/>
    <x v="13"/>
    <x v="11"/>
    <x v="31"/>
    <x v="30"/>
    <x v="23"/>
    <x v="23"/>
    <x v="31"/>
    <x v="31"/>
    <x v="3"/>
  </r>
  <r>
    <x v="0"/>
    <x v="1"/>
    <x v="1"/>
    <x v="15"/>
    <x v="15"/>
    <x v="15"/>
    <x v="12"/>
    <x v="32"/>
    <x v="31"/>
    <x v="31"/>
    <x v="31"/>
    <x v="32"/>
    <x v="32"/>
    <x v="4"/>
  </r>
  <r>
    <x v="0"/>
    <x v="1"/>
    <x v="1"/>
    <x v="14"/>
    <x v="14"/>
    <x v="14"/>
    <x v="13"/>
    <x v="33"/>
    <x v="32"/>
    <x v="23"/>
    <x v="23"/>
    <x v="33"/>
    <x v="33"/>
    <x v="4"/>
  </r>
  <r>
    <x v="0"/>
    <x v="1"/>
    <x v="1"/>
    <x v="11"/>
    <x v="11"/>
    <x v="11"/>
    <x v="14"/>
    <x v="34"/>
    <x v="33"/>
    <x v="32"/>
    <x v="32"/>
    <x v="34"/>
    <x v="34"/>
    <x v="4"/>
  </r>
  <r>
    <x v="0"/>
    <x v="1"/>
    <x v="1"/>
    <x v="20"/>
    <x v="20"/>
    <x v="20"/>
    <x v="15"/>
    <x v="35"/>
    <x v="34"/>
    <x v="33"/>
    <x v="33"/>
    <x v="35"/>
    <x v="35"/>
    <x v="1"/>
  </r>
  <r>
    <x v="0"/>
    <x v="1"/>
    <x v="1"/>
    <x v="19"/>
    <x v="19"/>
    <x v="19"/>
    <x v="16"/>
    <x v="36"/>
    <x v="35"/>
    <x v="34"/>
    <x v="34"/>
    <x v="36"/>
    <x v="36"/>
    <x v="4"/>
  </r>
  <r>
    <x v="0"/>
    <x v="1"/>
    <x v="1"/>
    <x v="21"/>
    <x v="21"/>
    <x v="21"/>
    <x v="17"/>
    <x v="37"/>
    <x v="36"/>
    <x v="35"/>
    <x v="35"/>
    <x v="37"/>
    <x v="37"/>
    <x v="0"/>
  </r>
  <r>
    <x v="0"/>
    <x v="1"/>
    <x v="1"/>
    <x v="16"/>
    <x v="16"/>
    <x v="16"/>
    <x v="18"/>
    <x v="38"/>
    <x v="37"/>
    <x v="36"/>
    <x v="36"/>
    <x v="38"/>
    <x v="38"/>
    <x v="4"/>
  </r>
  <r>
    <x v="0"/>
    <x v="1"/>
    <x v="1"/>
    <x v="22"/>
    <x v="22"/>
    <x v="22"/>
    <x v="19"/>
    <x v="39"/>
    <x v="19"/>
    <x v="37"/>
    <x v="37"/>
    <x v="39"/>
    <x v="39"/>
    <x v="9"/>
  </r>
  <r>
    <x v="0"/>
    <x v="2"/>
    <x v="2"/>
    <x v="3"/>
    <x v="3"/>
    <x v="3"/>
    <x v="0"/>
    <x v="40"/>
    <x v="38"/>
    <x v="38"/>
    <x v="38"/>
    <x v="40"/>
    <x v="40"/>
    <x v="4"/>
  </r>
  <r>
    <x v="0"/>
    <x v="2"/>
    <x v="2"/>
    <x v="4"/>
    <x v="4"/>
    <x v="4"/>
    <x v="1"/>
    <x v="41"/>
    <x v="39"/>
    <x v="38"/>
    <x v="38"/>
    <x v="41"/>
    <x v="41"/>
    <x v="4"/>
  </r>
  <r>
    <x v="0"/>
    <x v="2"/>
    <x v="2"/>
    <x v="2"/>
    <x v="2"/>
    <x v="2"/>
    <x v="2"/>
    <x v="42"/>
    <x v="40"/>
    <x v="39"/>
    <x v="39"/>
    <x v="42"/>
    <x v="42"/>
    <x v="4"/>
  </r>
  <r>
    <x v="0"/>
    <x v="2"/>
    <x v="2"/>
    <x v="0"/>
    <x v="0"/>
    <x v="0"/>
    <x v="3"/>
    <x v="43"/>
    <x v="41"/>
    <x v="40"/>
    <x v="40"/>
    <x v="43"/>
    <x v="43"/>
    <x v="4"/>
  </r>
  <r>
    <x v="0"/>
    <x v="2"/>
    <x v="2"/>
    <x v="6"/>
    <x v="6"/>
    <x v="6"/>
    <x v="4"/>
    <x v="44"/>
    <x v="42"/>
    <x v="41"/>
    <x v="41"/>
    <x v="44"/>
    <x v="44"/>
    <x v="4"/>
  </r>
  <r>
    <x v="0"/>
    <x v="2"/>
    <x v="2"/>
    <x v="5"/>
    <x v="5"/>
    <x v="5"/>
    <x v="5"/>
    <x v="45"/>
    <x v="43"/>
    <x v="42"/>
    <x v="42"/>
    <x v="45"/>
    <x v="45"/>
    <x v="4"/>
  </r>
  <r>
    <x v="0"/>
    <x v="2"/>
    <x v="2"/>
    <x v="7"/>
    <x v="7"/>
    <x v="7"/>
    <x v="6"/>
    <x v="46"/>
    <x v="44"/>
    <x v="43"/>
    <x v="43"/>
    <x v="46"/>
    <x v="46"/>
    <x v="4"/>
  </r>
  <r>
    <x v="0"/>
    <x v="2"/>
    <x v="2"/>
    <x v="1"/>
    <x v="1"/>
    <x v="1"/>
    <x v="7"/>
    <x v="47"/>
    <x v="45"/>
    <x v="44"/>
    <x v="44"/>
    <x v="47"/>
    <x v="47"/>
    <x v="4"/>
  </r>
  <r>
    <x v="0"/>
    <x v="2"/>
    <x v="2"/>
    <x v="11"/>
    <x v="11"/>
    <x v="11"/>
    <x v="8"/>
    <x v="48"/>
    <x v="46"/>
    <x v="45"/>
    <x v="45"/>
    <x v="48"/>
    <x v="27"/>
    <x v="4"/>
  </r>
  <r>
    <x v="0"/>
    <x v="2"/>
    <x v="2"/>
    <x v="10"/>
    <x v="10"/>
    <x v="10"/>
    <x v="9"/>
    <x v="49"/>
    <x v="47"/>
    <x v="38"/>
    <x v="38"/>
    <x v="43"/>
    <x v="43"/>
    <x v="4"/>
  </r>
  <r>
    <x v="0"/>
    <x v="2"/>
    <x v="2"/>
    <x v="9"/>
    <x v="9"/>
    <x v="9"/>
    <x v="10"/>
    <x v="50"/>
    <x v="48"/>
    <x v="46"/>
    <x v="46"/>
    <x v="49"/>
    <x v="48"/>
    <x v="4"/>
  </r>
  <r>
    <x v="0"/>
    <x v="2"/>
    <x v="2"/>
    <x v="20"/>
    <x v="20"/>
    <x v="20"/>
    <x v="11"/>
    <x v="51"/>
    <x v="49"/>
    <x v="47"/>
    <x v="47"/>
    <x v="50"/>
    <x v="49"/>
    <x v="4"/>
  </r>
  <r>
    <x v="0"/>
    <x v="2"/>
    <x v="2"/>
    <x v="12"/>
    <x v="12"/>
    <x v="12"/>
    <x v="12"/>
    <x v="52"/>
    <x v="50"/>
    <x v="48"/>
    <x v="48"/>
    <x v="43"/>
    <x v="43"/>
    <x v="4"/>
  </r>
  <r>
    <x v="0"/>
    <x v="2"/>
    <x v="2"/>
    <x v="8"/>
    <x v="8"/>
    <x v="8"/>
    <x v="12"/>
    <x v="52"/>
    <x v="50"/>
    <x v="34"/>
    <x v="49"/>
    <x v="51"/>
    <x v="50"/>
    <x v="0"/>
  </r>
  <r>
    <x v="0"/>
    <x v="2"/>
    <x v="2"/>
    <x v="13"/>
    <x v="13"/>
    <x v="13"/>
    <x v="12"/>
    <x v="52"/>
    <x v="50"/>
    <x v="49"/>
    <x v="50"/>
    <x v="52"/>
    <x v="13"/>
    <x v="4"/>
  </r>
  <r>
    <x v="0"/>
    <x v="2"/>
    <x v="2"/>
    <x v="21"/>
    <x v="21"/>
    <x v="21"/>
    <x v="15"/>
    <x v="53"/>
    <x v="51"/>
    <x v="33"/>
    <x v="51"/>
    <x v="53"/>
    <x v="51"/>
    <x v="4"/>
  </r>
  <r>
    <x v="0"/>
    <x v="2"/>
    <x v="2"/>
    <x v="23"/>
    <x v="23"/>
    <x v="23"/>
    <x v="16"/>
    <x v="54"/>
    <x v="52"/>
    <x v="50"/>
    <x v="52"/>
    <x v="51"/>
    <x v="50"/>
    <x v="4"/>
  </r>
  <r>
    <x v="0"/>
    <x v="2"/>
    <x v="2"/>
    <x v="17"/>
    <x v="17"/>
    <x v="17"/>
    <x v="16"/>
    <x v="54"/>
    <x v="52"/>
    <x v="48"/>
    <x v="48"/>
    <x v="54"/>
    <x v="52"/>
    <x v="4"/>
  </r>
  <r>
    <x v="0"/>
    <x v="2"/>
    <x v="2"/>
    <x v="15"/>
    <x v="15"/>
    <x v="15"/>
    <x v="18"/>
    <x v="55"/>
    <x v="53"/>
    <x v="47"/>
    <x v="47"/>
    <x v="53"/>
    <x v="51"/>
    <x v="4"/>
  </r>
  <r>
    <x v="0"/>
    <x v="2"/>
    <x v="2"/>
    <x v="22"/>
    <x v="22"/>
    <x v="22"/>
    <x v="19"/>
    <x v="56"/>
    <x v="54"/>
    <x v="51"/>
    <x v="53"/>
    <x v="55"/>
    <x v="53"/>
    <x v="4"/>
  </r>
  <r>
    <x v="0"/>
    <x v="3"/>
    <x v="3"/>
    <x v="2"/>
    <x v="2"/>
    <x v="2"/>
    <x v="0"/>
    <x v="57"/>
    <x v="55"/>
    <x v="52"/>
    <x v="54"/>
    <x v="56"/>
    <x v="54"/>
    <x v="4"/>
  </r>
  <r>
    <x v="0"/>
    <x v="3"/>
    <x v="3"/>
    <x v="0"/>
    <x v="0"/>
    <x v="0"/>
    <x v="1"/>
    <x v="58"/>
    <x v="56"/>
    <x v="53"/>
    <x v="55"/>
    <x v="57"/>
    <x v="55"/>
    <x v="4"/>
  </r>
  <r>
    <x v="0"/>
    <x v="3"/>
    <x v="3"/>
    <x v="1"/>
    <x v="1"/>
    <x v="1"/>
    <x v="2"/>
    <x v="59"/>
    <x v="57"/>
    <x v="54"/>
    <x v="56"/>
    <x v="58"/>
    <x v="56"/>
    <x v="4"/>
  </r>
  <r>
    <x v="0"/>
    <x v="3"/>
    <x v="3"/>
    <x v="4"/>
    <x v="4"/>
    <x v="4"/>
    <x v="3"/>
    <x v="60"/>
    <x v="58"/>
    <x v="34"/>
    <x v="57"/>
    <x v="59"/>
    <x v="57"/>
    <x v="4"/>
  </r>
  <r>
    <x v="0"/>
    <x v="3"/>
    <x v="3"/>
    <x v="5"/>
    <x v="5"/>
    <x v="5"/>
    <x v="4"/>
    <x v="61"/>
    <x v="59"/>
    <x v="55"/>
    <x v="58"/>
    <x v="60"/>
    <x v="58"/>
    <x v="4"/>
  </r>
  <r>
    <x v="0"/>
    <x v="3"/>
    <x v="3"/>
    <x v="7"/>
    <x v="7"/>
    <x v="7"/>
    <x v="5"/>
    <x v="40"/>
    <x v="60"/>
    <x v="40"/>
    <x v="59"/>
    <x v="61"/>
    <x v="59"/>
    <x v="4"/>
  </r>
  <r>
    <x v="0"/>
    <x v="3"/>
    <x v="3"/>
    <x v="9"/>
    <x v="9"/>
    <x v="9"/>
    <x v="6"/>
    <x v="62"/>
    <x v="61"/>
    <x v="56"/>
    <x v="60"/>
    <x v="62"/>
    <x v="60"/>
    <x v="4"/>
  </r>
  <r>
    <x v="0"/>
    <x v="3"/>
    <x v="3"/>
    <x v="3"/>
    <x v="3"/>
    <x v="3"/>
    <x v="7"/>
    <x v="63"/>
    <x v="45"/>
    <x v="38"/>
    <x v="61"/>
    <x v="63"/>
    <x v="61"/>
    <x v="4"/>
  </r>
  <r>
    <x v="0"/>
    <x v="3"/>
    <x v="3"/>
    <x v="6"/>
    <x v="6"/>
    <x v="6"/>
    <x v="8"/>
    <x v="64"/>
    <x v="62"/>
    <x v="41"/>
    <x v="62"/>
    <x v="64"/>
    <x v="62"/>
    <x v="4"/>
  </r>
  <r>
    <x v="0"/>
    <x v="3"/>
    <x v="3"/>
    <x v="10"/>
    <x v="10"/>
    <x v="10"/>
    <x v="8"/>
    <x v="64"/>
    <x v="62"/>
    <x v="57"/>
    <x v="63"/>
    <x v="65"/>
    <x v="63"/>
    <x v="4"/>
  </r>
  <r>
    <x v="0"/>
    <x v="3"/>
    <x v="3"/>
    <x v="8"/>
    <x v="8"/>
    <x v="8"/>
    <x v="10"/>
    <x v="65"/>
    <x v="63"/>
    <x v="43"/>
    <x v="64"/>
    <x v="66"/>
    <x v="64"/>
    <x v="4"/>
  </r>
  <r>
    <x v="0"/>
    <x v="3"/>
    <x v="3"/>
    <x v="24"/>
    <x v="24"/>
    <x v="24"/>
    <x v="11"/>
    <x v="66"/>
    <x v="64"/>
    <x v="41"/>
    <x v="62"/>
    <x v="67"/>
    <x v="65"/>
    <x v="4"/>
  </r>
  <r>
    <x v="0"/>
    <x v="3"/>
    <x v="3"/>
    <x v="13"/>
    <x v="13"/>
    <x v="13"/>
    <x v="12"/>
    <x v="67"/>
    <x v="11"/>
    <x v="58"/>
    <x v="65"/>
    <x v="68"/>
    <x v="66"/>
    <x v="4"/>
  </r>
  <r>
    <x v="0"/>
    <x v="3"/>
    <x v="3"/>
    <x v="19"/>
    <x v="19"/>
    <x v="19"/>
    <x v="13"/>
    <x v="68"/>
    <x v="65"/>
    <x v="51"/>
    <x v="66"/>
    <x v="69"/>
    <x v="32"/>
    <x v="4"/>
  </r>
  <r>
    <x v="0"/>
    <x v="3"/>
    <x v="3"/>
    <x v="15"/>
    <x v="15"/>
    <x v="15"/>
    <x v="13"/>
    <x v="68"/>
    <x v="65"/>
    <x v="59"/>
    <x v="67"/>
    <x v="70"/>
    <x v="67"/>
    <x v="4"/>
  </r>
  <r>
    <x v="0"/>
    <x v="3"/>
    <x v="3"/>
    <x v="21"/>
    <x v="21"/>
    <x v="21"/>
    <x v="15"/>
    <x v="69"/>
    <x v="66"/>
    <x v="59"/>
    <x v="67"/>
    <x v="71"/>
    <x v="68"/>
    <x v="4"/>
  </r>
  <r>
    <x v="0"/>
    <x v="3"/>
    <x v="3"/>
    <x v="14"/>
    <x v="14"/>
    <x v="14"/>
    <x v="16"/>
    <x v="70"/>
    <x v="67"/>
    <x v="60"/>
    <x v="68"/>
    <x v="72"/>
    <x v="69"/>
    <x v="4"/>
  </r>
  <r>
    <x v="0"/>
    <x v="3"/>
    <x v="3"/>
    <x v="11"/>
    <x v="11"/>
    <x v="11"/>
    <x v="17"/>
    <x v="71"/>
    <x v="68"/>
    <x v="38"/>
    <x v="61"/>
    <x v="73"/>
    <x v="70"/>
    <x v="4"/>
  </r>
  <r>
    <x v="0"/>
    <x v="3"/>
    <x v="3"/>
    <x v="20"/>
    <x v="20"/>
    <x v="20"/>
    <x v="18"/>
    <x v="72"/>
    <x v="37"/>
    <x v="47"/>
    <x v="47"/>
    <x v="65"/>
    <x v="63"/>
    <x v="4"/>
  </r>
  <r>
    <x v="0"/>
    <x v="3"/>
    <x v="3"/>
    <x v="16"/>
    <x v="16"/>
    <x v="16"/>
    <x v="19"/>
    <x v="73"/>
    <x v="69"/>
    <x v="58"/>
    <x v="65"/>
    <x v="74"/>
    <x v="71"/>
    <x v="4"/>
  </r>
  <r>
    <x v="0"/>
    <x v="4"/>
    <x v="4"/>
    <x v="2"/>
    <x v="2"/>
    <x v="2"/>
    <x v="0"/>
    <x v="74"/>
    <x v="70"/>
    <x v="61"/>
    <x v="69"/>
    <x v="75"/>
    <x v="72"/>
    <x v="4"/>
  </r>
  <r>
    <x v="0"/>
    <x v="4"/>
    <x v="4"/>
    <x v="1"/>
    <x v="1"/>
    <x v="1"/>
    <x v="1"/>
    <x v="75"/>
    <x v="71"/>
    <x v="62"/>
    <x v="70"/>
    <x v="76"/>
    <x v="73"/>
    <x v="4"/>
  </r>
  <r>
    <x v="0"/>
    <x v="4"/>
    <x v="4"/>
    <x v="0"/>
    <x v="0"/>
    <x v="0"/>
    <x v="2"/>
    <x v="76"/>
    <x v="72"/>
    <x v="63"/>
    <x v="71"/>
    <x v="77"/>
    <x v="74"/>
    <x v="4"/>
  </r>
  <r>
    <x v="0"/>
    <x v="4"/>
    <x v="4"/>
    <x v="5"/>
    <x v="5"/>
    <x v="5"/>
    <x v="3"/>
    <x v="77"/>
    <x v="73"/>
    <x v="52"/>
    <x v="72"/>
    <x v="78"/>
    <x v="75"/>
    <x v="4"/>
  </r>
  <r>
    <x v="0"/>
    <x v="4"/>
    <x v="4"/>
    <x v="10"/>
    <x v="10"/>
    <x v="10"/>
    <x v="4"/>
    <x v="78"/>
    <x v="74"/>
    <x v="64"/>
    <x v="73"/>
    <x v="79"/>
    <x v="76"/>
    <x v="4"/>
  </r>
  <r>
    <x v="0"/>
    <x v="4"/>
    <x v="4"/>
    <x v="14"/>
    <x v="14"/>
    <x v="14"/>
    <x v="5"/>
    <x v="79"/>
    <x v="75"/>
    <x v="45"/>
    <x v="74"/>
    <x v="80"/>
    <x v="77"/>
    <x v="4"/>
  </r>
  <r>
    <x v="0"/>
    <x v="4"/>
    <x v="4"/>
    <x v="7"/>
    <x v="7"/>
    <x v="7"/>
    <x v="5"/>
    <x v="79"/>
    <x v="75"/>
    <x v="40"/>
    <x v="75"/>
    <x v="81"/>
    <x v="78"/>
    <x v="4"/>
  </r>
  <r>
    <x v="0"/>
    <x v="4"/>
    <x v="4"/>
    <x v="8"/>
    <x v="8"/>
    <x v="8"/>
    <x v="7"/>
    <x v="80"/>
    <x v="76"/>
    <x v="65"/>
    <x v="4"/>
    <x v="82"/>
    <x v="5"/>
    <x v="4"/>
  </r>
  <r>
    <x v="0"/>
    <x v="4"/>
    <x v="4"/>
    <x v="9"/>
    <x v="9"/>
    <x v="9"/>
    <x v="8"/>
    <x v="81"/>
    <x v="77"/>
    <x v="66"/>
    <x v="76"/>
    <x v="43"/>
    <x v="47"/>
    <x v="4"/>
  </r>
  <r>
    <x v="0"/>
    <x v="4"/>
    <x v="4"/>
    <x v="4"/>
    <x v="4"/>
    <x v="4"/>
    <x v="9"/>
    <x v="82"/>
    <x v="78"/>
    <x v="41"/>
    <x v="77"/>
    <x v="83"/>
    <x v="79"/>
    <x v="4"/>
  </r>
  <r>
    <x v="0"/>
    <x v="4"/>
    <x v="4"/>
    <x v="13"/>
    <x v="13"/>
    <x v="13"/>
    <x v="10"/>
    <x v="83"/>
    <x v="79"/>
    <x v="58"/>
    <x v="16"/>
    <x v="84"/>
    <x v="80"/>
    <x v="0"/>
  </r>
  <r>
    <x v="0"/>
    <x v="4"/>
    <x v="4"/>
    <x v="15"/>
    <x v="15"/>
    <x v="15"/>
    <x v="11"/>
    <x v="84"/>
    <x v="80"/>
    <x v="59"/>
    <x v="78"/>
    <x v="85"/>
    <x v="81"/>
    <x v="4"/>
  </r>
  <r>
    <x v="0"/>
    <x v="4"/>
    <x v="4"/>
    <x v="3"/>
    <x v="3"/>
    <x v="3"/>
    <x v="12"/>
    <x v="85"/>
    <x v="81"/>
    <x v="67"/>
    <x v="79"/>
    <x v="86"/>
    <x v="82"/>
    <x v="4"/>
  </r>
  <r>
    <x v="0"/>
    <x v="4"/>
    <x v="4"/>
    <x v="6"/>
    <x v="6"/>
    <x v="6"/>
    <x v="13"/>
    <x v="86"/>
    <x v="31"/>
    <x v="51"/>
    <x v="80"/>
    <x v="60"/>
    <x v="83"/>
    <x v="4"/>
  </r>
  <r>
    <x v="0"/>
    <x v="4"/>
    <x v="4"/>
    <x v="19"/>
    <x v="19"/>
    <x v="19"/>
    <x v="14"/>
    <x v="87"/>
    <x v="82"/>
    <x v="51"/>
    <x v="80"/>
    <x v="87"/>
    <x v="84"/>
    <x v="4"/>
  </r>
  <r>
    <x v="0"/>
    <x v="4"/>
    <x v="4"/>
    <x v="22"/>
    <x v="22"/>
    <x v="22"/>
    <x v="15"/>
    <x v="88"/>
    <x v="83"/>
    <x v="47"/>
    <x v="47"/>
    <x v="88"/>
    <x v="85"/>
    <x v="3"/>
  </r>
  <r>
    <x v="0"/>
    <x v="4"/>
    <x v="4"/>
    <x v="18"/>
    <x v="18"/>
    <x v="18"/>
    <x v="16"/>
    <x v="69"/>
    <x v="84"/>
    <x v="59"/>
    <x v="78"/>
    <x v="71"/>
    <x v="10"/>
    <x v="4"/>
  </r>
  <r>
    <x v="0"/>
    <x v="4"/>
    <x v="4"/>
    <x v="11"/>
    <x v="11"/>
    <x v="11"/>
    <x v="17"/>
    <x v="89"/>
    <x v="85"/>
    <x v="37"/>
    <x v="81"/>
    <x v="89"/>
    <x v="86"/>
    <x v="4"/>
  </r>
  <r>
    <x v="0"/>
    <x v="4"/>
    <x v="4"/>
    <x v="16"/>
    <x v="16"/>
    <x v="16"/>
    <x v="18"/>
    <x v="90"/>
    <x v="86"/>
    <x v="68"/>
    <x v="82"/>
    <x v="90"/>
    <x v="87"/>
    <x v="4"/>
  </r>
  <r>
    <x v="0"/>
    <x v="4"/>
    <x v="4"/>
    <x v="20"/>
    <x v="20"/>
    <x v="20"/>
    <x v="18"/>
    <x v="90"/>
    <x v="86"/>
    <x v="47"/>
    <x v="47"/>
    <x v="71"/>
    <x v="10"/>
    <x v="4"/>
  </r>
  <r>
    <x v="0"/>
    <x v="5"/>
    <x v="5"/>
    <x v="0"/>
    <x v="0"/>
    <x v="0"/>
    <x v="0"/>
    <x v="91"/>
    <x v="87"/>
    <x v="69"/>
    <x v="83"/>
    <x v="91"/>
    <x v="88"/>
    <x v="4"/>
  </r>
  <r>
    <x v="0"/>
    <x v="5"/>
    <x v="5"/>
    <x v="2"/>
    <x v="2"/>
    <x v="2"/>
    <x v="1"/>
    <x v="92"/>
    <x v="88"/>
    <x v="70"/>
    <x v="84"/>
    <x v="92"/>
    <x v="89"/>
    <x v="4"/>
  </r>
  <r>
    <x v="0"/>
    <x v="5"/>
    <x v="5"/>
    <x v="1"/>
    <x v="1"/>
    <x v="1"/>
    <x v="2"/>
    <x v="93"/>
    <x v="89"/>
    <x v="71"/>
    <x v="85"/>
    <x v="93"/>
    <x v="90"/>
    <x v="4"/>
  </r>
  <r>
    <x v="0"/>
    <x v="5"/>
    <x v="5"/>
    <x v="4"/>
    <x v="4"/>
    <x v="4"/>
    <x v="3"/>
    <x v="94"/>
    <x v="90"/>
    <x v="60"/>
    <x v="17"/>
    <x v="94"/>
    <x v="91"/>
    <x v="4"/>
  </r>
  <r>
    <x v="0"/>
    <x v="5"/>
    <x v="5"/>
    <x v="3"/>
    <x v="3"/>
    <x v="3"/>
    <x v="4"/>
    <x v="95"/>
    <x v="91"/>
    <x v="72"/>
    <x v="86"/>
    <x v="95"/>
    <x v="92"/>
    <x v="4"/>
  </r>
  <r>
    <x v="0"/>
    <x v="5"/>
    <x v="5"/>
    <x v="6"/>
    <x v="6"/>
    <x v="6"/>
    <x v="4"/>
    <x v="95"/>
    <x v="91"/>
    <x v="37"/>
    <x v="61"/>
    <x v="96"/>
    <x v="93"/>
    <x v="4"/>
  </r>
  <r>
    <x v="0"/>
    <x v="5"/>
    <x v="5"/>
    <x v="7"/>
    <x v="7"/>
    <x v="7"/>
    <x v="6"/>
    <x v="96"/>
    <x v="92"/>
    <x v="73"/>
    <x v="87"/>
    <x v="97"/>
    <x v="63"/>
    <x v="4"/>
  </r>
  <r>
    <x v="0"/>
    <x v="5"/>
    <x v="5"/>
    <x v="5"/>
    <x v="5"/>
    <x v="5"/>
    <x v="7"/>
    <x v="97"/>
    <x v="93"/>
    <x v="74"/>
    <x v="88"/>
    <x v="81"/>
    <x v="94"/>
    <x v="4"/>
  </r>
  <r>
    <x v="0"/>
    <x v="5"/>
    <x v="5"/>
    <x v="9"/>
    <x v="9"/>
    <x v="9"/>
    <x v="8"/>
    <x v="98"/>
    <x v="77"/>
    <x v="75"/>
    <x v="89"/>
    <x v="51"/>
    <x v="17"/>
    <x v="4"/>
  </r>
  <r>
    <x v="0"/>
    <x v="5"/>
    <x v="5"/>
    <x v="10"/>
    <x v="10"/>
    <x v="10"/>
    <x v="9"/>
    <x v="63"/>
    <x v="94"/>
    <x v="76"/>
    <x v="90"/>
    <x v="98"/>
    <x v="95"/>
    <x v="4"/>
  </r>
  <r>
    <x v="0"/>
    <x v="5"/>
    <x v="5"/>
    <x v="13"/>
    <x v="13"/>
    <x v="13"/>
    <x v="10"/>
    <x v="44"/>
    <x v="95"/>
    <x v="77"/>
    <x v="91"/>
    <x v="99"/>
    <x v="96"/>
    <x v="4"/>
  </r>
  <r>
    <x v="0"/>
    <x v="5"/>
    <x v="5"/>
    <x v="8"/>
    <x v="8"/>
    <x v="8"/>
    <x v="11"/>
    <x v="65"/>
    <x v="96"/>
    <x v="78"/>
    <x v="92"/>
    <x v="62"/>
    <x v="97"/>
    <x v="4"/>
  </r>
  <r>
    <x v="0"/>
    <x v="5"/>
    <x v="5"/>
    <x v="15"/>
    <x v="15"/>
    <x v="15"/>
    <x v="12"/>
    <x v="99"/>
    <x v="97"/>
    <x v="33"/>
    <x v="93"/>
    <x v="57"/>
    <x v="98"/>
    <x v="4"/>
  </r>
  <r>
    <x v="0"/>
    <x v="5"/>
    <x v="5"/>
    <x v="11"/>
    <x v="11"/>
    <x v="11"/>
    <x v="13"/>
    <x v="100"/>
    <x v="12"/>
    <x v="42"/>
    <x v="94"/>
    <x v="50"/>
    <x v="99"/>
    <x v="4"/>
  </r>
  <r>
    <x v="0"/>
    <x v="5"/>
    <x v="5"/>
    <x v="19"/>
    <x v="19"/>
    <x v="19"/>
    <x v="14"/>
    <x v="101"/>
    <x v="34"/>
    <x v="41"/>
    <x v="95"/>
    <x v="58"/>
    <x v="100"/>
    <x v="4"/>
  </r>
  <r>
    <x v="0"/>
    <x v="5"/>
    <x v="5"/>
    <x v="21"/>
    <x v="21"/>
    <x v="21"/>
    <x v="15"/>
    <x v="48"/>
    <x v="98"/>
    <x v="68"/>
    <x v="96"/>
    <x v="66"/>
    <x v="101"/>
    <x v="4"/>
  </r>
  <r>
    <x v="0"/>
    <x v="5"/>
    <x v="5"/>
    <x v="20"/>
    <x v="20"/>
    <x v="20"/>
    <x v="16"/>
    <x v="102"/>
    <x v="99"/>
    <x v="51"/>
    <x v="80"/>
    <x v="100"/>
    <x v="102"/>
    <x v="0"/>
  </r>
  <r>
    <x v="0"/>
    <x v="5"/>
    <x v="5"/>
    <x v="25"/>
    <x v="25"/>
    <x v="25"/>
    <x v="17"/>
    <x v="103"/>
    <x v="86"/>
    <x v="41"/>
    <x v="95"/>
    <x v="101"/>
    <x v="103"/>
    <x v="4"/>
  </r>
  <r>
    <x v="0"/>
    <x v="5"/>
    <x v="5"/>
    <x v="16"/>
    <x v="16"/>
    <x v="16"/>
    <x v="18"/>
    <x v="73"/>
    <x v="17"/>
    <x v="38"/>
    <x v="97"/>
    <x v="52"/>
    <x v="104"/>
    <x v="4"/>
  </r>
  <r>
    <x v="0"/>
    <x v="5"/>
    <x v="5"/>
    <x v="18"/>
    <x v="18"/>
    <x v="18"/>
    <x v="19"/>
    <x v="51"/>
    <x v="100"/>
    <x v="47"/>
    <x v="47"/>
    <x v="50"/>
    <x v="99"/>
    <x v="4"/>
  </r>
  <r>
    <x v="0"/>
    <x v="6"/>
    <x v="6"/>
    <x v="0"/>
    <x v="0"/>
    <x v="0"/>
    <x v="0"/>
    <x v="104"/>
    <x v="101"/>
    <x v="79"/>
    <x v="98"/>
    <x v="102"/>
    <x v="105"/>
    <x v="4"/>
  </r>
  <r>
    <x v="0"/>
    <x v="6"/>
    <x v="6"/>
    <x v="2"/>
    <x v="2"/>
    <x v="2"/>
    <x v="1"/>
    <x v="105"/>
    <x v="102"/>
    <x v="80"/>
    <x v="99"/>
    <x v="103"/>
    <x v="106"/>
    <x v="4"/>
  </r>
  <r>
    <x v="0"/>
    <x v="6"/>
    <x v="6"/>
    <x v="1"/>
    <x v="1"/>
    <x v="1"/>
    <x v="2"/>
    <x v="106"/>
    <x v="103"/>
    <x v="81"/>
    <x v="22"/>
    <x v="104"/>
    <x v="107"/>
    <x v="4"/>
  </r>
  <r>
    <x v="0"/>
    <x v="6"/>
    <x v="6"/>
    <x v="10"/>
    <x v="10"/>
    <x v="10"/>
    <x v="3"/>
    <x v="83"/>
    <x v="104"/>
    <x v="82"/>
    <x v="100"/>
    <x v="70"/>
    <x v="108"/>
    <x v="4"/>
  </r>
  <r>
    <x v="0"/>
    <x v="6"/>
    <x v="6"/>
    <x v="5"/>
    <x v="5"/>
    <x v="5"/>
    <x v="4"/>
    <x v="107"/>
    <x v="74"/>
    <x v="46"/>
    <x v="101"/>
    <x v="105"/>
    <x v="109"/>
    <x v="4"/>
  </r>
  <r>
    <x v="0"/>
    <x v="6"/>
    <x v="6"/>
    <x v="4"/>
    <x v="4"/>
    <x v="4"/>
    <x v="5"/>
    <x v="87"/>
    <x v="105"/>
    <x v="33"/>
    <x v="35"/>
    <x v="106"/>
    <x v="110"/>
    <x v="4"/>
  </r>
  <r>
    <x v="0"/>
    <x v="6"/>
    <x v="6"/>
    <x v="9"/>
    <x v="9"/>
    <x v="9"/>
    <x v="6"/>
    <x v="108"/>
    <x v="43"/>
    <x v="83"/>
    <x v="102"/>
    <x v="47"/>
    <x v="111"/>
    <x v="4"/>
  </r>
  <r>
    <x v="0"/>
    <x v="6"/>
    <x v="6"/>
    <x v="7"/>
    <x v="7"/>
    <x v="7"/>
    <x v="7"/>
    <x v="109"/>
    <x v="106"/>
    <x v="84"/>
    <x v="103"/>
    <x v="104"/>
    <x v="107"/>
    <x v="4"/>
  </r>
  <r>
    <x v="0"/>
    <x v="6"/>
    <x v="6"/>
    <x v="3"/>
    <x v="3"/>
    <x v="3"/>
    <x v="8"/>
    <x v="110"/>
    <x v="107"/>
    <x v="50"/>
    <x v="41"/>
    <x v="107"/>
    <x v="112"/>
    <x v="4"/>
  </r>
  <r>
    <x v="0"/>
    <x v="6"/>
    <x v="6"/>
    <x v="6"/>
    <x v="6"/>
    <x v="6"/>
    <x v="9"/>
    <x v="100"/>
    <x v="108"/>
    <x v="51"/>
    <x v="104"/>
    <x v="88"/>
    <x v="113"/>
    <x v="4"/>
  </r>
  <r>
    <x v="0"/>
    <x v="6"/>
    <x v="6"/>
    <x v="8"/>
    <x v="8"/>
    <x v="8"/>
    <x v="9"/>
    <x v="100"/>
    <x v="108"/>
    <x v="46"/>
    <x v="101"/>
    <x v="108"/>
    <x v="114"/>
    <x v="4"/>
  </r>
  <r>
    <x v="0"/>
    <x v="6"/>
    <x v="6"/>
    <x v="13"/>
    <x v="13"/>
    <x v="13"/>
    <x v="11"/>
    <x v="69"/>
    <x v="109"/>
    <x v="67"/>
    <x v="105"/>
    <x v="90"/>
    <x v="115"/>
    <x v="4"/>
  </r>
  <r>
    <x v="0"/>
    <x v="6"/>
    <x v="6"/>
    <x v="20"/>
    <x v="20"/>
    <x v="20"/>
    <x v="12"/>
    <x v="89"/>
    <x v="63"/>
    <x v="47"/>
    <x v="47"/>
    <x v="109"/>
    <x v="116"/>
    <x v="4"/>
  </r>
  <r>
    <x v="0"/>
    <x v="6"/>
    <x v="6"/>
    <x v="15"/>
    <x v="15"/>
    <x v="15"/>
    <x v="13"/>
    <x v="102"/>
    <x v="31"/>
    <x v="33"/>
    <x v="35"/>
    <x v="65"/>
    <x v="117"/>
    <x v="4"/>
  </r>
  <r>
    <x v="0"/>
    <x v="6"/>
    <x v="6"/>
    <x v="16"/>
    <x v="16"/>
    <x v="16"/>
    <x v="14"/>
    <x v="71"/>
    <x v="82"/>
    <x v="48"/>
    <x v="106"/>
    <x v="104"/>
    <x v="107"/>
    <x v="4"/>
  </r>
  <r>
    <x v="0"/>
    <x v="6"/>
    <x v="6"/>
    <x v="19"/>
    <x v="19"/>
    <x v="19"/>
    <x v="15"/>
    <x v="72"/>
    <x v="110"/>
    <x v="51"/>
    <x v="104"/>
    <x v="97"/>
    <x v="118"/>
    <x v="4"/>
  </r>
  <r>
    <x v="0"/>
    <x v="6"/>
    <x v="6"/>
    <x v="21"/>
    <x v="21"/>
    <x v="21"/>
    <x v="16"/>
    <x v="111"/>
    <x v="111"/>
    <x v="51"/>
    <x v="104"/>
    <x v="110"/>
    <x v="11"/>
    <x v="4"/>
  </r>
  <r>
    <x v="0"/>
    <x v="6"/>
    <x v="6"/>
    <x v="22"/>
    <x v="22"/>
    <x v="22"/>
    <x v="16"/>
    <x v="111"/>
    <x v="111"/>
    <x v="47"/>
    <x v="47"/>
    <x v="48"/>
    <x v="119"/>
    <x v="4"/>
  </r>
  <r>
    <x v="0"/>
    <x v="6"/>
    <x v="6"/>
    <x v="11"/>
    <x v="11"/>
    <x v="11"/>
    <x v="18"/>
    <x v="112"/>
    <x v="37"/>
    <x v="48"/>
    <x v="106"/>
    <x v="55"/>
    <x v="120"/>
    <x v="4"/>
  </r>
  <r>
    <x v="0"/>
    <x v="6"/>
    <x v="6"/>
    <x v="18"/>
    <x v="18"/>
    <x v="18"/>
    <x v="19"/>
    <x v="113"/>
    <x v="112"/>
    <x v="51"/>
    <x v="104"/>
    <x v="72"/>
    <x v="121"/>
    <x v="4"/>
  </r>
  <r>
    <x v="0"/>
    <x v="7"/>
    <x v="7"/>
    <x v="2"/>
    <x v="2"/>
    <x v="2"/>
    <x v="0"/>
    <x v="114"/>
    <x v="113"/>
    <x v="85"/>
    <x v="107"/>
    <x v="111"/>
    <x v="122"/>
    <x v="4"/>
  </r>
  <r>
    <x v="0"/>
    <x v="7"/>
    <x v="7"/>
    <x v="0"/>
    <x v="0"/>
    <x v="0"/>
    <x v="1"/>
    <x v="115"/>
    <x v="114"/>
    <x v="86"/>
    <x v="108"/>
    <x v="50"/>
    <x v="123"/>
    <x v="4"/>
  </r>
  <r>
    <x v="0"/>
    <x v="7"/>
    <x v="7"/>
    <x v="1"/>
    <x v="1"/>
    <x v="1"/>
    <x v="2"/>
    <x v="116"/>
    <x v="115"/>
    <x v="87"/>
    <x v="109"/>
    <x v="112"/>
    <x v="124"/>
    <x v="4"/>
  </r>
  <r>
    <x v="0"/>
    <x v="7"/>
    <x v="7"/>
    <x v="3"/>
    <x v="3"/>
    <x v="3"/>
    <x v="3"/>
    <x v="117"/>
    <x v="116"/>
    <x v="34"/>
    <x v="110"/>
    <x v="77"/>
    <x v="125"/>
    <x v="4"/>
  </r>
  <r>
    <x v="0"/>
    <x v="7"/>
    <x v="7"/>
    <x v="4"/>
    <x v="4"/>
    <x v="4"/>
    <x v="4"/>
    <x v="43"/>
    <x v="117"/>
    <x v="38"/>
    <x v="111"/>
    <x v="113"/>
    <x v="126"/>
    <x v="4"/>
  </r>
  <r>
    <x v="0"/>
    <x v="7"/>
    <x v="7"/>
    <x v="6"/>
    <x v="6"/>
    <x v="6"/>
    <x v="5"/>
    <x v="44"/>
    <x v="118"/>
    <x v="38"/>
    <x v="111"/>
    <x v="81"/>
    <x v="127"/>
    <x v="4"/>
  </r>
  <r>
    <x v="0"/>
    <x v="7"/>
    <x v="7"/>
    <x v="7"/>
    <x v="7"/>
    <x v="7"/>
    <x v="6"/>
    <x v="110"/>
    <x v="28"/>
    <x v="88"/>
    <x v="112"/>
    <x v="114"/>
    <x v="128"/>
    <x v="4"/>
  </r>
  <r>
    <x v="0"/>
    <x v="7"/>
    <x v="7"/>
    <x v="5"/>
    <x v="5"/>
    <x v="5"/>
    <x v="7"/>
    <x v="70"/>
    <x v="119"/>
    <x v="77"/>
    <x v="113"/>
    <x v="108"/>
    <x v="129"/>
    <x v="4"/>
  </r>
  <r>
    <x v="0"/>
    <x v="7"/>
    <x v="7"/>
    <x v="10"/>
    <x v="10"/>
    <x v="10"/>
    <x v="8"/>
    <x v="118"/>
    <x v="120"/>
    <x v="37"/>
    <x v="11"/>
    <x v="110"/>
    <x v="100"/>
    <x v="4"/>
  </r>
  <r>
    <x v="0"/>
    <x v="7"/>
    <x v="7"/>
    <x v="8"/>
    <x v="8"/>
    <x v="8"/>
    <x v="9"/>
    <x v="73"/>
    <x v="65"/>
    <x v="60"/>
    <x v="114"/>
    <x v="55"/>
    <x v="38"/>
    <x v="4"/>
  </r>
  <r>
    <x v="0"/>
    <x v="7"/>
    <x v="7"/>
    <x v="13"/>
    <x v="13"/>
    <x v="13"/>
    <x v="9"/>
    <x v="73"/>
    <x v="65"/>
    <x v="67"/>
    <x v="115"/>
    <x v="93"/>
    <x v="130"/>
    <x v="4"/>
  </r>
  <r>
    <x v="0"/>
    <x v="7"/>
    <x v="7"/>
    <x v="9"/>
    <x v="9"/>
    <x v="9"/>
    <x v="9"/>
    <x v="73"/>
    <x v="65"/>
    <x v="89"/>
    <x v="116"/>
    <x v="47"/>
    <x v="131"/>
    <x v="4"/>
  </r>
  <r>
    <x v="0"/>
    <x v="7"/>
    <x v="7"/>
    <x v="12"/>
    <x v="12"/>
    <x v="12"/>
    <x v="12"/>
    <x v="51"/>
    <x v="121"/>
    <x v="41"/>
    <x v="51"/>
    <x v="73"/>
    <x v="132"/>
    <x v="4"/>
  </r>
  <r>
    <x v="0"/>
    <x v="7"/>
    <x v="7"/>
    <x v="11"/>
    <x v="11"/>
    <x v="11"/>
    <x v="13"/>
    <x v="111"/>
    <x v="122"/>
    <x v="67"/>
    <x v="115"/>
    <x v="114"/>
    <x v="128"/>
    <x v="4"/>
  </r>
  <r>
    <x v="0"/>
    <x v="7"/>
    <x v="7"/>
    <x v="24"/>
    <x v="24"/>
    <x v="24"/>
    <x v="14"/>
    <x v="119"/>
    <x v="123"/>
    <x v="47"/>
    <x v="47"/>
    <x v="110"/>
    <x v="100"/>
    <x v="4"/>
  </r>
  <r>
    <x v="0"/>
    <x v="7"/>
    <x v="7"/>
    <x v="20"/>
    <x v="20"/>
    <x v="20"/>
    <x v="15"/>
    <x v="112"/>
    <x v="52"/>
    <x v="47"/>
    <x v="47"/>
    <x v="73"/>
    <x v="132"/>
    <x v="4"/>
  </r>
  <r>
    <x v="0"/>
    <x v="7"/>
    <x v="7"/>
    <x v="19"/>
    <x v="19"/>
    <x v="19"/>
    <x v="16"/>
    <x v="120"/>
    <x v="124"/>
    <x v="47"/>
    <x v="47"/>
    <x v="108"/>
    <x v="129"/>
    <x v="4"/>
  </r>
  <r>
    <x v="0"/>
    <x v="7"/>
    <x v="7"/>
    <x v="18"/>
    <x v="18"/>
    <x v="18"/>
    <x v="17"/>
    <x v="54"/>
    <x v="125"/>
    <x v="51"/>
    <x v="78"/>
    <x v="53"/>
    <x v="133"/>
    <x v="4"/>
  </r>
  <r>
    <x v="0"/>
    <x v="7"/>
    <x v="7"/>
    <x v="21"/>
    <x v="21"/>
    <x v="21"/>
    <x v="17"/>
    <x v="54"/>
    <x v="125"/>
    <x v="59"/>
    <x v="117"/>
    <x v="43"/>
    <x v="134"/>
    <x v="4"/>
  </r>
  <r>
    <x v="0"/>
    <x v="7"/>
    <x v="7"/>
    <x v="16"/>
    <x v="16"/>
    <x v="16"/>
    <x v="17"/>
    <x v="54"/>
    <x v="125"/>
    <x v="49"/>
    <x v="13"/>
    <x v="112"/>
    <x v="124"/>
    <x v="4"/>
  </r>
  <r>
    <x v="0"/>
    <x v="8"/>
    <x v="8"/>
    <x v="2"/>
    <x v="2"/>
    <x v="2"/>
    <x v="0"/>
    <x v="121"/>
    <x v="126"/>
    <x v="90"/>
    <x v="118"/>
    <x v="115"/>
    <x v="135"/>
    <x v="0"/>
  </r>
  <r>
    <x v="0"/>
    <x v="8"/>
    <x v="8"/>
    <x v="1"/>
    <x v="1"/>
    <x v="1"/>
    <x v="1"/>
    <x v="122"/>
    <x v="127"/>
    <x v="91"/>
    <x v="119"/>
    <x v="116"/>
    <x v="136"/>
    <x v="4"/>
  </r>
  <r>
    <x v="0"/>
    <x v="8"/>
    <x v="8"/>
    <x v="0"/>
    <x v="0"/>
    <x v="0"/>
    <x v="2"/>
    <x v="123"/>
    <x v="128"/>
    <x v="92"/>
    <x v="120"/>
    <x v="76"/>
    <x v="137"/>
    <x v="4"/>
  </r>
  <r>
    <x v="0"/>
    <x v="8"/>
    <x v="8"/>
    <x v="10"/>
    <x v="10"/>
    <x v="10"/>
    <x v="3"/>
    <x v="124"/>
    <x v="129"/>
    <x v="93"/>
    <x v="121"/>
    <x v="117"/>
    <x v="138"/>
    <x v="4"/>
  </r>
  <r>
    <x v="0"/>
    <x v="8"/>
    <x v="8"/>
    <x v="5"/>
    <x v="5"/>
    <x v="5"/>
    <x v="4"/>
    <x v="125"/>
    <x v="130"/>
    <x v="75"/>
    <x v="122"/>
    <x v="76"/>
    <x v="137"/>
    <x v="4"/>
  </r>
  <r>
    <x v="0"/>
    <x v="8"/>
    <x v="8"/>
    <x v="9"/>
    <x v="9"/>
    <x v="9"/>
    <x v="5"/>
    <x v="126"/>
    <x v="131"/>
    <x v="94"/>
    <x v="123"/>
    <x v="97"/>
    <x v="139"/>
    <x v="4"/>
  </r>
  <r>
    <x v="0"/>
    <x v="8"/>
    <x v="8"/>
    <x v="7"/>
    <x v="7"/>
    <x v="7"/>
    <x v="6"/>
    <x v="127"/>
    <x v="132"/>
    <x v="95"/>
    <x v="124"/>
    <x v="42"/>
    <x v="140"/>
    <x v="0"/>
  </r>
  <r>
    <x v="0"/>
    <x v="8"/>
    <x v="8"/>
    <x v="8"/>
    <x v="8"/>
    <x v="8"/>
    <x v="7"/>
    <x v="128"/>
    <x v="133"/>
    <x v="74"/>
    <x v="125"/>
    <x v="118"/>
    <x v="141"/>
    <x v="0"/>
  </r>
  <r>
    <x v="0"/>
    <x v="8"/>
    <x v="8"/>
    <x v="14"/>
    <x v="14"/>
    <x v="14"/>
    <x v="8"/>
    <x v="129"/>
    <x v="134"/>
    <x v="89"/>
    <x v="126"/>
    <x v="119"/>
    <x v="142"/>
    <x v="4"/>
  </r>
  <r>
    <x v="0"/>
    <x v="8"/>
    <x v="8"/>
    <x v="15"/>
    <x v="15"/>
    <x v="15"/>
    <x v="9"/>
    <x v="130"/>
    <x v="79"/>
    <x v="49"/>
    <x v="127"/>
    <x v="120"/>
    <x v="143"/>
    <x v="4"/>
  </r>
  <r>
    <x v="0"/>
    <x v="8"/>
    <x v="8"/>
    <x v="13"/>
    <x v="13"/>
    <x v="13"/>
    <x v="10"/>
    <x v="64"/>
    <x v="135"/>
    <x v="96"/>
    <x v="128"/>
    <x v="60"/>
    <x v="144"/>
    <x v="4"/>
  </r>
  <r>
    <x v="0"/>
    <x v="8"/>
    <x v="8"/>
    <x v="4"/>
    <x v="4"/>
    <x v="4"/>
    <x v="11"/>
    <x v="66"/>
    <x v="110"/>
    <x v="49"/>
    <x v="127"/>
    <x v="99"/>
    <x v="145"/>
    <x v="4"/>
  </r>
  <r>
    <x v="0"/>
    <x v="8"/>
    <x v="8"/>
    <x v="20"/>
    <x v="20"/>
    <x v="20"/>
    <x v="12"/>
    <x v="67"/>
    <x v="13"/>
    <x v="47"/>
    <x v="47"/>
    <x v="121"/>
    <x v="146"/>
    <x v="3"/>
  </r>
  <r>
    <x v="0"/>
    <x v="8"/>
    <x v="8"/>
    <x v="22"/>
    <x v="22"/>
    <x v="22"/>
    <x v="13"/>
    <x v="45"/>
    <x v="123"/>
    <x v="41"/>
    <x v="129"/>
    <x v="109"/>
    <x v="102"/>
    <x v="3"/>
  </r>
  <r>
    <x v="0"/>
    <x v="8"/>
    <x v="8"/>
    <x v="3"/>
    <x v="3"/>
    <x v="3"/>
    <x v="14"/>
    <x v="100"/>
    <x v="99"/>
    <x v="45"/>
    <x v="130"/>
    <x v="97"/>
    <x v="139"/>
    <x v="4"/>
  </r>
  <r>
    <x v="0"/>
    <x v="8"/>
    <x v="8"/>
    <x v="6"/>
    <x v="6"/>
    <x v="6"/>
    <x v="15"/>
    <x v="46"/>
    <x v="68"/>
    <x v="48"/>
    <x v="131"/>
    <x v="102"/>
    <x v="121"/>
    <x v="4"/>
  </r>
  <r>
    <x v="0"/>
    <x v="8"/>
    <x v="8"/>
    <x v="21"/>
    <x v="21"/>
    <x v="21"/>
    <x v="16"/>
    <x v="102"/>
    <x v="136"/>
    <x v="50"/>
    <x v="132"/>
    <x v="89"/>
    <x v="147"/>
    <x v="4"/>
  </r>
  <r>
    <x v="0"/>
    <x v="8"/>
    <x v="8"/>
    <x v="25"/>
    <x v="25"/>
    <x v="25"/>
    <x v="16"/>
    <x v="102"/>
    <x v="136"/>
    <x v="33"/>
    <x v="19"/>
    <x v="65"/>
    <x v="134"/>
    <x v="4"/>
  </r>
  <r>
    <x v="0"/>
    <x v="8"/>
    <x v="8"/>
    <x v="16"/>
    <x v="16"/>
    <x v="16"/>
    <x v="18"/>
    <x v="71"/>
    <x v="137"/>
    <x v="45"/>
    <x v="130"/>
    <x v="72"/>
    <x v="148"/>
    <x v="4"/>
  </r>
  <r>
    <x v="0"/>
    <x v="8"/>
    <x v="8"/>
    <x v="26"/>
    <x v="26"/>
    <x v="26"/>
    <x v="19"/>
    <x v="72"/>
    <x v="138"/>
    <x v="47"/>
    <x v="47"/>
    <x v="65"/>
    <x v="134"/>
    <x v="4"/>
  </r>
  <r>
    <x v="0"/>
    <x v="8"/>
    <x v="8"/>
    <x v="11"/>
    <x v="11"/>
    <x v="11"/>
    <x v="19"/>
    <x v="72"/>
    <x v="138"/>
    <x v="45"/>
    <x v="130"/>
    <x v="52"/>
    <x v="149"/>
    <x v="4"/>
  </r>
  <r>
    <x v="0"/>
    <x v="8"/>
    <x v="8"/>
    <x v="27"/>
    <x v="27"/>
    <x v="27"/>
    <x v="19"/>
    <x v="72"/>
    <x v="138"/>
    <x v="48"/>
    <x v="131"/>
    <x v="110"/>
    <x v="150"/>
    <x v="0"/>
  </r>
  <r>
    <x v="0"/>
    <x v="9"/>
    <x v="9"/>
    <x v="2"/>
    <x v="2"/>
    <x v="2"/>
    <x v="0"/>
    <x v="131"/>
    <x v="139"/>
    <x v="97"/>
    <x v="133"/>
    <x v="122"/>
    <x v="151"/>
    <x v="4"/>
  </r>
  <r>
    <x v="0"/>
    <x v="9"/>
    <x v="9"/>
    <x v="0"/>
    <x v="0"/>
    <x v="0"/>
    <x v="1"/>
    <x v="132"/>
    <x v="38"/>
    <x v="98"/>
    <x v="134"/>
    <x v="42"/>
    <x v="152"/>
    <x v="4"/>
  </r>
  <r>
    <x v="0"/>
    <x v="9"/>
    <x v="9"/>
    <x v="1"/>
    <x v="1"/>
    <x v="1"/>
    <x v="2"/>
    <x v="133"/>
    <x v="104"/>
    <x v="99"/>
    <x v="135"/>
    <x v="90"/>
    <x v="153"/>
    <x v="4"/>
  </r>
  <r>
    <x v="0"/>
    <x v="9"/>
    <x v="9"/>
    <x v="7"/>
    <x v="7"/>
    <x v="7"/>
    <x v="3"/>
    <x v="134"/>
    <x v="140"/>
    <x v="52"/>
    <x v="136"/>
    <x v="123"/>
    <x v="117"/>
    <x v="4"/>
  </r>
  <r>
    <x v="0"/>
    <x v="9"/>
    <x v="9"/>
    <x v="4"/>
    <x v="4"/>
    <x v="4"/>
    <x v="4"/>
    <x v="135"/>
    <x v="141"/>
    <x v="34"/>
    <x v="137"/>
    <x v="124"/>
    <x v="154"/>
    <x v="4"/>
  </r>
  <r>
    <x v="0"/>
    <x v="9"/>
    <x v="9"/>
    <x v="10"/>
    <x v="10"/>
    <x v="10"/>
    <x v="5"/>
    <x v="81"/>
    <x v="142"/>
    <x v="55"/>
    <x v="138"/>
    <x v="44"/>
    <x v="96"/>
    <x v="4"/>
  </r>
  <r>
    <x v="0"/>
    <x v="9"/>
    <x v="9"/>
    <x v="9"/>
    <x v="9"/>
    <x v="9"/>
    <x v="6"/>
    <x v="136"/>
    <x v="143"/>
    <x v="81"/>
    <x v="139"/>
    <x v="74"/>
    <x v="155"/>
    <x v="4"/>
  </r>
  <r>
    <x v="0"/>
    <x v="9"/>
    <x v="9"/>
    <x v="6"/>
    <x v="6"/>
    <x v="6"/>
    <x v="7"/>
    <x v="129"/>
    <x v="144"/>
    <x v="68"/>
    <x v="29"/>
    <x v="125"/>
    <x v="156"/>
    <x v="4"/>
  </r>
  <r>
    <x v="0"/>
    <x v="9"/>
    <x v="9"/>
    <x v="3"/>
    <x v="3"/>
    <x v="3"/>
    <x v="8"/>
    <x v="137"/>
    <x v="145"/>
    <x v="39"/>
    <x v="140"/>
    <x v="41"/>
    <x v="157"/>
    <x v="0"/>
  </r>
  <r>
    <x v="0"/>
    <x v="9"/>
    <x v="9"/>
    <x v="5"/>
    <x v="5"/>
    <x v="5"/>
    <x v="9"/>
    <x v="117"/>
    <x v="8"/>
    <x v="44"/>
    <x v="141"/>
    <x v="126"/>
    <x v="158"/>
    <x v="4"/>
  </r>
  <r>
    <x v="0"/>
    <x v="9"/>
    <x v="9"/>
    <x v="13"/>
    <x v="13"/>
    <x v="13"/>
    <x v="10"/>
    <x v="85"/>
    <x v="146"/>
    <x v="45"/>
    <x v="142"/>
    <x v="63"/>
    <x v="159"/>
    <x v="0"/>
  </r>
  <r>
    <x v="0"/>
    <x v="9"/>
    <x v="9"/>
    <x v="15"/>
    <x v="15"/>
    <x v="15"/>
    <x v="11"/>
    <x v="65"/>
    <x v="147"/>
    <x v="51"/>
    <x v="143"/>
    <x v="42"/>
    <x v="152"/>
    <x v="4"/>
  </r>
  <r>
    <x v="0"/>
    <x v="9"/>
    <x v="9"/>
    <x v="8"/>
    <x v="8"/>
    <x v="8"/>
    <x v="12"/>
    <x v="138"/>
    <x v="50"/>
    <x v="65"/>
    <x v="144"/>
    <x v="89"/>
    <x v="160"/>
    <x v="4"/>
  </r>
  <r>
    <x v="0"/>
    <x v="9"/>
    <x v="9"/>
    <x v="19"/>
    <x v="19"/>
    <x v="19"/>
    <x v="13"/>
    <x v="89"/>
    <x v="148"/>
    <x v="51"/>
    <x v="143"/>
    <x v="71"/>
    <x v="161"/>
    <x v="4"/>
  </r>
  <r>
    <x v="0"/>
    <x v="9"/>
    <x v="9"/>
    <x v="16"/>
    <x v="16"/>
    <x v="16"/>
    <x v="13"/>
    <x v="89"/>
    <x v="148"/>
    <x v="37"/>
    <x v="23"/>
    <x v="89"/>
    <x v="160"/>
    <x v="4"/>
  </r>
  <r>
    <x v="0"/>
    <x v="9"/>
    <x v="9"/>
    <x v="21"/>
    <x v="21"/>
    <x v="21"/>
    <x v="15"/>
    <x v="90"/>
    <x v="67"/>
    <x v="41"/>
    <x v="18"/>
    <x v="98"/>
    <x v="129"/>
    <x v="0"/>
  </r>
  <r>
    <x v="0"/>
    <x v="9"/>
    <x v="9"/>
    <x v="20"/>
    <x v="20"/>
    <x v="20"/>
    <x v="15"/>
    <x v="90"/>
    <x v="67"/>
    <x v="59"/>
    <x v="145"/>
    <x v="68"/>
    <x v="162"/>
    <x v="4"/>
  </r>
  <r>
    <x v="0"/>
    <x v="9"/>
    <x v="9"/>
    <x v="22"/>
    <x v="22"/>
    <x v="22"/>
    <x v="17"/>
    <x v="47"/>
    <x v="149"/>
    <x v="33"/>
    <x v="146"/>
    <x v="61"/>
    <x v="163"/>
    <x v="4"/>
  </r>
  <r>
    <x v="0"/>
    <x v="9"/>
    <x v="9"/>
    <x v="26"/>
    <x v="26"/>
    <x v="26"/>
    <x v="18"/>
    <x v="101"/>
    <x v="16"/>
    <x v="59"/>
    <x v="145"/>
    <x v="98"/>
    <x v="129"/>
    <x v="4"/>
  </r>
  <r>
    <x v="0"/>
    <x v="9"/>
    <x v="9"/>
    <x v="12"/>
    <x v="12"/>
    <x v="12"/>
    <x v="19"/>
    <x v="70"/>
    <x v="150"/>
    <x v="100"/>
    <x v="147"/>
    <x v="65"/>
    <x v="99"/>
    <x v="4"/>
  </r>
  <r>
    <x v="0"/>
    <x v="9"/>
    <x v="9"/>
    <x v="11"/>
    <x v="11"/>
    <x v="11"/>
    <x v="19"/>
    <x v="70"/>
    <x v="150"/>
    <x v="37"/>
    <x v="23"/>
    <x v="48"/>
    <x v="164"/>
    <x v="4"/>
  </r>
  <r>
    <x v="0"/>
    <x v="10"/>
    <x v="10"/>
    <x v="2"/>
    <x v="2"/>
    <x v="2"/>
    <x v="0"/>
    <x v="139"/>
    <x v="151"/>
    <x v="72"/>
    <x v="148"/>
    <x v="124"/>
    <x v="165"/>
    <x v="4"/>
  </r>
  <r>
    <x v="0"/>
    <x v="10"/>
    <x v="10"/>
    <x v="0"/>
    <x v="0"/>
    <x v="0"/>
    <x v="1"/>
    <x v="81"/>
    <x v="152"/>
    <x v="95"/>
    <x v="149"/>
    <x v="90"/>
    <x v="166"/>
    <x v="4"/>
  </r>
  <r>
    <x v="0"/>
    <x v="10"/>
    <x v="10"/>
    <x v="4"/>
    <x v="4"/>
    <x v="4"/>
    <x v="2"/>
    <x v="140"/>
    <x v="153"/>
    <x v="60"/>
    <x v="150"/>
    <x v="40"/>
    <x v="167"/>
    <x v="4"/>
  </r>
  <r>
    <x v="0"/>
    <x v="10"/>
    <x v="10"/>
    <x v="3"/>
    <x v="3"/>
    <x v="3"/>
    <x v="3"/>
    <x v="141"/>
    <x v="154"/>
    <x v="39"/>
    <x v="151"/>
    <x v="127"/>
    <x v="168"/>
    <x v="4"/>
  </r>
  <r>
    <x v="0"/>
    <x v="10"/>
    <x v="10"/>
    <x v="6"/>
    <x v="6"/>
    <x v="6"/>
    <x v="4"/>
    <x v="142"/>
    <x v="23"/>
    <x v="67"/>
    <x v="17"/>
    <x v="113"/>
    <x v="169"/>
    <x v="4"/>
  </r>
  <r>
    <x v="0"/>
    <x v="10"/>
    <x v="10"/>
    <x v="1"/>
    <x v="1"/>
    <x v="1"/>
    <x v="4"/>
    <x v="142"/>
    <x v="23"/>
    <x v="101"/>
    <x v="152"/>
    <x v="51"/>
    <x v="170"/>
    <x v="4"/>
  </r>
  <r>
    <x v="0"/>
    <x v="10"/>
    <x v="10"/>
    <x v="7"/>
    <x v="7"/>
    <x v="7"/>
    <x v="6"/>
    <x v="143"/>
    <x v="74"/>
    <x v="102"/>
    <x v="153"/>
    <x v="50"/>
    <x v="119"/>
    <x v="4"/>
  </r>
  <r>
    <x v="0"/>
    <x v="10"/>
    <x v="10"/>
    <x v="5"/>
    <x v="5"/>
    <x v="5"/>
    <x v="7"/>
    <x v="144"/>
    <x v="105"/>
    <x v="42"/>
    <x v="154"/>
    <x v="69"/>
    <x v="171"/>
    <x v="4"/>
  </r>
  <r>
    <x v="0"/>
    <x v="10"/>
    <x v="10"/>
    <x v="9"/>
    <x v="9"/>
    <x v="9"/>
    <x v="8"/>
    <x v="110"/>
    <x v="155"/>
    <x v="55"/>
    <x v="155"/>
    <x v="128"/>
    <x v="172"/>
    <x v="4"/>
  </r>
  <r>
    <x v="0"/>
    <x v="10"/>
    <x v="10"/>
    <x v="10"/>
    <x v="10"/>
    <x v="10"/>
    <x v="9"/>
    <x v="68"/>
    <x v="156"/>
    <x v="103"/>
    <x v="156"/>
    <x v="45"/>
    <x v="95"/>
    <x v="4"/>
  </r>
  <r>
    <x v="0"/>
    <x v="10"/>
    <x v="10"/>
    <x v="15"/>
    <x v="15"/>
    <x v="15"/>
    <x v="10"/>
    <x v="69"/>
    <x v="157"/>
    <x v="41"/>
    <x v="157"/>
    <x v="68"/>
    <x v="173"/>
    <x v="4"/>
  </r>
  <r>
    <x v="0"/>
    <x v="10"/>
    <x v="10"/>
    <x v="13"/>
    <x v="13"/>
    <x v="13"/>
    <x v="11"/>
    <x v="47"/>
    <x v="158"/>
    <x v="67"/>
    <x v="17"/>
    <x v="97"/>
    <x v="174"/>
    <x v="4"/>
  </r>
  <r>
    <x v="0"/>
    <x v="10"/>
    <x v="10"/>
    <x v="21"/>
    <x v="21"/>
    <x v="21"/>
    <x v="12"/>
    <x v="70"/>
    <x v="159"/>
    <x v="41"/>
    <x v="157"/>
    <x v="100"/>
    <x v="175"/>
    <x v="4"/>
  </r>
  <r>
    <x v="0"/>
    <x v="10"/>
    <x v="10"/>
    <x v="11"/>
    <x v="11"/>
    <x v="11"/>
    <x v="13"/>
    <x v="102"/>
    <x v="160"/>
    <x v="48"/>
    <x v="158"/>
    <x v="129"/>
    <x v="176"/>
    <x v="4"/>
  </r>
  <r>
    <x v="0"/>
    <x v="10"/>
    <x v="10"/>
    <x v="14"/>
    <x v="14"/>
    <x v="14"/>
    <x v="14"/>
    <x v="145"/>
    <x v="161"/>
    <x v="50"/>
    <x v="159"/>
    <x v="48"/>
    <x v="177"/>
    <x v="4"/>
  </r>
  <r>
    <x v="0"/>
    <x v="10"/>
    <x v="10"/>
    <x v="8"/>
    <x v="8"/>
    <x v="8"/>
    <x v="15"/>
    <x v="49"/>
    <x v="162"/>
    <x v="60"/>
    <x v="150"/>
    <x v="112"/>
    <x v="178"/>
    <x v="4"/>
  </r>
  <r>
    <x v="0"/>
    <x v="10"/>
    <x v="10"/>
    <x v="20"/>
    <x v="20"/>
    <x v="20"/>
    <x v="15"/>
    <x v="49"/>
    <x v="162"/>
    <x v="47"/>
    <x v="47"/>
    <x v="45"/>
    <x v="95"/>
    <x v="4"/>
  </r>
  <r>
    <x v="0"/>
    <x v="10"/>
    <x v="10"/>
    <x v="28"/>
    <x v="28"/>
    <x v="28"/>
    <x v="17"/>
    <x v="146"/>
    <x v="163"/>
    <x v="68"/>
    <x v="160"/>
    <x v="72"/>
    <x v="179"/>
    <x v="4"/>
  </r>
  <r>
    <x v="0"/>
    <x v="10"/>
    <x v="10"/>
    <x v="12"/>
    <x v="12"/>
    <x v="12"/>
    <x v="18"/>
    <x v="50"/>
    <x v="34"/>
    <x v="48"/>
    <x v="158"/>
    <x v="52"/>
    <x v="180"/>
    <x v="4"/>
  </r>
  <r>
    <x v="0"/>
    <x v="10"/>
    <x v="10"/>
    <x v="16"/>
    <x v="16"/>
    <x v="16"/>
    <x v="18"/>
    <x v="50"/>
    <x v="34"/>
    <x v="68"/>
    <x v="160"/>
    <x v="108"/>
    <x v="181"/>
    <x v="4"/>
  </r>
  <r>
    <x v="0"/>
    <x v="11"/>
    <x v="11"/>
    <x v="0"/>
    <x v="0"/>
    <x v="0"/>
    <x v="0"/>
    <x v="147"/>
    <x v="164"/>
    <x v="92"/>
    <x v="161"/>
    <x v="93"/>
    <x v="70"/>
    <x v="4"/>
  </r>
  <r>
    <x v="0"/>
    <x v="11"/>
    <x v="11"/>
    <x v="3"/>
    <x v="3"/>
    <x v="3"/>
    <x v="1"/>
    <x v="148"/>
    <x v="40"/>
    <x v="82"/>
    <x v="162"/>
    <x v="103"/>
    <x v="182"/>
    <x v="4"/>
  </r>
  <r>
    <x v="0"/>
    <x v="11"/>
    <x v="11"/>
    <x v="2"/>
    <x v="2"/>
    <x v="2"/>
    <x v="2"/>
    <x v="149"/>
    <x v="165"/>
    <x v="104"/>
    <x v="163"/>
    <x v="130"/>
    <x v="183"/>
    <x v="4"/>
  </r>
  <r>
    <x v="0"/>
    <x v="11"/>
    <x v="11"/>
    <x v="4"/>
    <x v="4"/>
    <x v="4"/>
    <x v="3"/>
    <x v="150"/>
    <x v="166"/>
    <x v="105"/>
    <x v="164"/>
    <x v="131"/>
    <x v="184"/>
    <x v="4"/>
  </r>
  <r>
    <x v="0"/>
    <x v="11"/>
    <x v="11"/>
    <x v="1"/>
    <x v="1"/>
    <x v="1"/>
    <x v="4"/>
    <x v="151"/>
    <x v="4"/>
    <x v="106"/>
    <x v="165"/>
    <x v="51"/>
    <x v="185"/>
    <x v="4"/>
  </r>
  <r>
    <x v="0"/>
    <x v="11"/>
    <x v="11"/>
    <x v="5"/>
    <x v="5"/>
    <x v="5"/>
    <x v="5"/>
    <x v="152"/>
    <x v="167"/>
    <x v="107"/>
    <x v="166"/>
    <x v="113"/>
    <x v="108"/>
    <x v="4"/>
  </r>
  <r>
    <x v="0"/>
    <x v="11"/>
    <x v="11"/>
    <x v="6"/>
    <x v="6"/>
    <x v="6"/>
    <x v="6"/>
    <x v="83"/>
    <x v="168"/>
    <x v="67"/>
    <x v="41"/>
    <x v="120"/>
    <x v="186"/>
    <x v="4"/>
  </r>
  <r>
    <x v="0"/>
    <x v="11"/>
    <x v="11"/>
    <x v="12"/>
    <x v="12"/>
    <x v="12"/>
    <x v="7"/>
    <x v="63"/>
    <x v="62"/>
    <x v="77"/>
    <x v="167"/>
    <x v="42"/>
    <x v="24"/>
    <x v="4"/>
  </r>
  <r>
    <x v="0"/>
    <x v="11"/>
    <x v="11"/>
    <x v="11"/>
    <x v="11"/>
    <x v="11"/>
    <x v="8"/>
    <x v="107"/>
    <x v="169"/>
    <x v="104"/>
    <x v="163"/>
    <x v="91"/>
    <x v="187"/>
    <x v="4"/>
  </r>
  <r>
    <x v="0"/>
    <x v="11"/>
    <x v="11"/>
    <x v="8"/>
    <x v="8"/>
    <x v="8"/>
    <x v="9"/>
    <x v="87"/>
    <x v="108"/>
    <x v="108"/>
    <x v="168"/>
    <x v="112"/>
    <x v="188"/>
    <x v="4"/>
  </r>
  <r>
    <x v="0"/>
    <x v="11"/>
    <x v="11"/>
    <x v="9"/>
    <x v="9"/>
    <x v="9"/>
    <x v="10"/>
    <x v="67"/>
    <x v="147"/>
    <x v="109"/>
    <x v="169"/>
    <x v="128"/>
    <x v="189"/>
    <x v="4"/>
  </r>
  <r>
    <x v="0"/>
    <x v="11"/>
    <x v="11"/>
    <x v="23"/>
    <x v="23"/>
    <x v="23"/>
    <x v="11"/>
    <x v="110"/>
    <x v="31"/>
    <x v="49"/>
    <x v="170"/>
    <x v="132"/>
    <x v="190"/>
    <x v="4"/>
  </r>
  <r>
    <x v="0"/>
    <x v="11"/>
    <x v="11"/>
    <x v="28"/>
    <x v="28"/>
    <x v="28"/>
    <x v="12"/>
    <x v="153"/>
    <x v="170"/>
    <x v="72"/>
    <x v="171"/>
    <x v="45"/>
    <x v="191"/>
    <x v="4"/>
  </r>
  <r>
    <x v="0"/>
    <x v="11"/>
    <x v="11"/>
    <x v="7"/>
    <x v="7"/>
    <x v="7"/>
    <x v="13"/>
    <x v="68"/>
    <x v="171"/>
    <x v="80"/>
    <x v="172"/>
    <x v="112"/>
    <x v="188"/>
    <x v="4"/>
  </r>
  <r>
    <x v="0"/>
    <x v="11"/>
    <x v="11"/>
    <x v="10"/>
    <x v="10"/>
    <x v="10"/>
    <x v="14"/>
    <x v="100"/>
    <x v="172"/>
    <x v="88"/>
    <x v="10"/>
    <x v="51"/>
    <x v="185"/>
    <x v="4"/>
  </r>
  <r>
    <x v="0"/>
    <x v="11"/>
    <x v="11"/>
    <x v="19"/>
    <x v="19"/>
    <x v="19"/>
    <x v="15"/>
    <x v="90"/>
    <x v="162"/>
    <x v="33"/>
    <x v="173"/>
    <x v="91"/>
    <x v="187"/>
    <x v="4"/>
  </r>
  <r>
    <x v="0"/>
    <x v="11"/>
    <x v="11"/>
    <x v="17"/>
    <x v="17"/>
    <x v="17"/>
    <x v="16"/>
    <x v="47"/>
    <x v="173"/>
    <x v="42"/>
    <x v="174"/>
    <x v="93"/>
    <x v="70"/>
    <x v="4"/>
  </r>
  <r>
    <x v="0"/>
    <x v="11"/>
    <x v="11"/>
    <x v="21"/>
    <x v="21"/>
    <x v="21"/>
    <x v="17"/>
    <x v="101"/>
    <x v="174"/>
    <x v="68"/>
    <x v="175"/>
    <x v="97"/>
    <x v="192"/>
    <x v="4"/>
  </r>
  <r>
    <x v="0"/>
    <x v="11"/>
    <x v="11"/>
    <x v="13"/>
    <x v="13"/>
    <x v="13"/>
    <x v="17"/>
    <x v="101"/>
    <x v="174"/>
    <x v="45"/>
    <x v="52"/>
    <x v="104"/>
    <x v="134"/>
    <x v="4"/>
  </r>
  <r>
    <x v="0"/>
    <x v="11"/>
    <x v="11"/>
    <x v="20"/>
    <x v="20"/>
    <x v="20"/>
    <x v="19"/>
    <x v="71"/>
    <x v="175"/>
    <x v="47"/>
    <x v="47"/>
    <x v="65"/>
    <x v="193"/>
    <x v="3"/>
  </r>
  <r>
    <x v="0"/>
    <x v="12"/>
    <x v="12"/>
    <x v="0"/>
    <x v="0"/>
    <x v="0"/>
    <x v="0"/>
    <x v="154"/>
    <x v="176"/>
    <x v="110"/>
    <x v="176"/>
    <x v="83"/>
    <x v="187"/>
    <x v="4"/>
  </r>
  <r>
    <x v="0"/>
    <x v="12"/>
    <x v="12"/>
    <x v="1"/>
    <x v="1"/>
    <x v="1"/>
    <x v="1"/>
    <x v="155"/>
    <x v="177"/>
    <x v="111"/>
    <x v="177"/>
    <x v="80"/>
    <x v="194"/>
    <x v="4"/>
  </r>
  <r>
    <x v="0"/>
    <x v="12"/>
    <x v="12"/>
    <x v="2"/>
    <x v="2"/>
    <x v="2"/>
    <x v="2"/>
    <x v="156"/>
    <x v="178"/>
    <x v="112"/>
    <x v="178"/>
    <x v="133"/>
    <x v="195"/>
    <x v="4"/>
  </r>
  <r>
    <x v="0"/>
    <x v="12"/>
    <x v="12"/>
    <x v="3"/>
    <x v="3"/>
    <x v="3"/>
    <x v="3"/>
    <x v="37"/>
    <x v="179"/>
    <x v="113"/>
    <x v="113"/>
    <x v="134"/>
    <x v="196"/>
    <x v="4"/>
  </r>
  <r>
    <x v="0"/>
    <x v="12"/>
    <x v="12"/>
    <x v="4"/>
    <x v="4"/>
    <x v="4"/>
    <x v="4"/>
    <x v="157"/>
    <x v="180"/>
    <x v="82"/>
    <x v="179"/>
    <x v="135"/>
    <x v="197"/>
    <x v="4"/>
  </r>
  <r>
    <x v="0"/>
    <x v="12"/>
    <x v="12"/>
    <x v="5"/>
    <x v="5"/>
    <x v="5"/>
    <x v="5"/>
    <x v="158"/>
    <x v="181"/>
    <x v="23"/>
    <x v="118"/>
    <x v="136"/>
    <x v="198"/>
    <x v="4"/>
  </r>
  <r>
    <x v="0"/>
    <x v="12"/>
    <x v="12"/>
    <x v="8"/>
    <x v="8"/>
    <x v="8"/>
    <x v="6"/>
    <x v="159"/>
    <x v="60"/>
    <x v="114"/>
    <x v="180"/>
    <x v="131"/>
    <x v="199"/>
    <x v="4"/>
  </r>
  <r>
    <x v="0"/>
    <x v="12"/>
    <x v="12"/>
    <x v="6"/>
    <x v="6"/>
    <x v="6"/>
    <x v="7"/>
    <x v="160"/>
    <x v="182"/>
    <x v="43"/>
    <x v="181"/>
    <x v="137"/>
    <x v="200"/>
    <x v="4"/>
  </r>
  <r>
    <x v="0"/>
    <x v="12"/>
    <x v="12"/>
    <x v="9"/>
    <x v="9"/>
    <x v="9"/>
    <x v="8"/>
    <x v="161"/>
    <x v="183"/>
    <x v="115"/>
    <x v="182"/>
    <x v="109"/>
    <x v="201"/>
    <x v="4"/>
  </r>
  <r>
    <x v="0"/>
    <x v="12"/>
    <x v="12"/>
    <x v="7"/>
    <x v="7"/>
    <x v="7"/>
    <x v="9"/>
    <x v="162"/>
    <x v="28"/>
    <x v="116"/>
    <x v="27"/>
    <x v="81"/>
    <x v="180"/>
    <x v="0"/>
  </r>
  <r>
    <x v="0"/>
    <x v="12"/>
    <x v="12"/>
    <x v="10"/>
    <x v="10"/>
    <x v="10"/>
    <x v="10"/>
    <x v="58"/>
    <x v="184"/>
    <x v="99"/>
    <x v="183"/>
    <x v="138"/>
    <x v="202"/>
    <x v="4"/>
  </r>
  <r>
    <x v="0"/>
    <x v="12"/>
    <x v="12"/>
    <x v="11"/>
    <x v="11"/>
    <x v="11"/>
    <x v="11"/>
    <x v="163"/>
    <x v="185"/>
    <x v="117"/>
    <x v="184"/>
    <x v="139"/>
    <x v="203"/>
    <x v="4"/>
  </r>
  <r>
    <x v="0"/>
    <x v="12"/>
    <x v="12"/>
    <x v="14"/>
    <x v="14"/>
    <x v="14"/>
    <x v="12"/>
    <x v="164"/>
    <x v="160"/>
    <x v="78"/>
    <x v="126"/>
    <x v="140"/>
    <x v="204"/>
    <x v="4"/>
  </r>
  <r>
    <x v="0"/>
    <x v="12"/>
    <x v="12"/>
    <x v="13"/>
    <x v="13"/>
    <x v="13"/>
    <x v="13"/>
    <x v="79"/>
    <x v="186"/>
    <x v="118"/>
    <x v="185"/>
    <x v="139"/>
    <x v="203"/>
    <x v="4"/>
  </r>
  <r>
    <x v="0"/>
    <x v="12"/>
    <x v="12"/>
    <x v="15"/>
    <x v="15"/>
    <x v="15"/>
    <x v="14"/>
    <x v="165"/>
    <x v="187"/>
    <x v="45"/>
    <x v="147"/>
    <x v="141"/>
    <x v="205"/>
    <x v="4"/>
  </r>
  <r>
    <x v="0"/>
    <x v="12"/>
    <x v="12"/>
    <x v="16"/>
    <x v="16"/>
    <x v="16"/>
    <x v="15"/>
    <x v="166"/>
    <x v="98"/>
    <x v="44"/>
    <x v="186"/>
    <x v="106"/>
    <x v="206"/>
    <x v="4"/>
  </r>
  <r>
    <x v="0"/>
    <x v="12"/>
    <x v="12"/>
    <x v="12"/>
    <x v="12"/>
    <x v="12"/>
    <x v="16"/>
    <x v="41"/>
    <x v="68"/>
    <x v="103"/>
    <x v="187"/>
    <x v="79"/>
    <x v="207"/>
    <x v="4"/>
  </r>
  <r>
    <x v="0"/>
    <x v="12"/>
    <x v="12"/>
    <x v="22"/>
    <x v="22"/>
    <x v="22"/>
    <x v="17"/>
    <x v="167"/>
    <x v="85"/>
    <x v="68"/>
    <x v="173"/>
    <x v="64"/>
    <x v="129"/>
    <x v="0"/>
  </r>
  <r>
    <x v="0"/>
    <x v="12"/>
    <x v="12"/>
    <x v="17"/>
    <x v="17"/>
    <x v="17"/>
    <x v="18"/>
    <x v="42"/>
    <x v="69"/>
    <x v="119"/>
    <x v="188"/>
    <x v="98"/>
    <x v="208"/>
    <x v="4"/>
  </r>
  <r>
    <x v="0"/>
    <x v="12"/>
    <x v="12"/>
    <x v="19"/>
    <x v="19"/>
    <x v="19"/>
    <x v="19"/>
    <x v="168"/>
    <x v="188"/>
    <x v="49"/>
    <x v="189"/>
    <x v="63"/>
    <x v="209"/>
    <x v="4"/>
  </r>
  <r>
    <x v="0"/>
    <x v="13"/>
    <x v="13"/>
    <x v="1"/>
    <x v="1"/>
    <x v="1"/>
    <x v="0"/>
    <x v="169"/>
    <x v="71"/>
    <x v="120"/>
    <x v="190"/>
    <x v="139"/>
    <x v="210"/>
    <x v="4"/>
  </r>
  <r>
    <x v="0"/>
    <x v="13"/>
    <x v="13"/>
    <x v="0"/>
    <x v="0"/>
    <x v="0"/>
    <x v="1"/>
    <x v="170"/>
    <x v="189"/>
    <x v="121"/>
    <x v="191"/>
    <x v="57"/>
    <x v="211"/>
    <x v="4"/>
  </r>
  <r>
    <x v="0"/>
    <x v="13"/>
    <x v="13"/>
    <x v="4"/>
    <x v="4"/>
    <x v="4"/>
    <x v="2"/>
    <x v="171"/>
    <x v="154"/>
    <x v="86"/>
    <x v="192"/>
    <x v="142"/>
    <x v="212"/>
    <x v="4"/>
  </r>
  <r>
    <x v="0"/>
    <x v="13"/>
    <x v="13"/>
    <x v="5"/>
    <x v="5"/>
    <x v="5"/>
    <x v="3"/>
    <x v="172"/>
    <x v="190"/>
    <x v="122"/>
    <x v="58"/>
    <x v="143"/>
    <x v="213"/>
    <x v="0"/>
  </r>
  <r>
    <x v="0"/>
    <x v="13"/>
    <x v="13"/>
    <x v="2"/>
    <x v="2"/>
    <x v="2"/>
    <x v="4"/>
    <x v="173"/>
    <x v="117"/>
    <x v="123"/>
    <x v="193"/>
    <x v="56"/>
    <x v="214"/>
    <x v="4"/>
  </r>
  <r>
    <x v="0"/>
    <x v="13"/>
    <x v="13"/>
    <x v="3"/>
    <x v="3"/>
    <x v="3"/>
    <x v="5"/>
    <x v="174"/>
    <x v="191"/>
    <x v="124"/>
    <x v="194"/>
    <x v="131"/>
    <x v="136"/>
    <x v="4"/>
  </r>
  <r>
    <x v="0"/>
    <x v="13"/>
    <x v="13"/>
    <x v="7"/>
    <x v="7"/>
    <x v="7"/>
    <x v="6"/>
    <x v="175"/>
    <x v="192"/>
    <x v="125"/>
    <x v="195"/>
    <x v="90"/>
    <x v="215"/>
    <x v="4"/>
  </r>
  <r>
    <x v="0"/>
    <x v="13"/>
    <x v="13"/>
    <x v="8"/>
    <x v="8"/>
    <x v="8"/>
    <x v="7"/>
    <x v="148"/>
    <x v="78"/>
    <x v="126"/>
    <x v="196"/>
    <x v="144"/>
    <x v="101"/>
    <x v="4"/>
  </r>
  <r>
    <x v="0"/>
    <x v="13"/>
    <x v="13"/>
    <x v="11"/>
    <x v="11"/>
    <x v="11"/>
    <x v="8"/>
    <x v="104"/>
    <x v="9"/>
    <x v="81"/>
    <x v="197"/>
    <x v="60"/>
    <x v="158"/>
    <x v="4"/>
  </r>
  <r>
    <x v="0"/>
    <x v="13"/>
    <x v="13"/>
    <x v="9"/>
    <x v="9"/>
    <x v="9"/>
    <x v="9"/>
    <x v="176"/>
    <x v="107"/>
    <x v="94"/>
    <x v="198"/>
    <x v="74"/>
    <x v="216"/>
    <x v="4"/>
  </r>
  <r>
    <x v="0"/>
    <x v="13"/>
    <x v="13"/>
    <x v="6"/>
    <x v="6"/>
    <x v="6"/>
    <x v="10"/>
    <x v="93"/>
    <x v="193"/>
    <x v="44"/>
    <x v="199"/>
    <x v="80"/>
    <x v="217"/>
    <x v="4"/>
  </r>
  <r>
    <x v="0"/>
    <x v="13"/>
    <x v="13"/>
    <x v="10"/>
    <x v="10"/>
    <x v="10"/>
    <x v="11"/>
    <x v="177"/>
    <x v="194"/>
    <x v="127"/>
    <x v="200"/>
    <x v="145"/>
    <x v="193"/>
    <x v="4"/>
  </r>
  <r>
    <x v="0"/>
    <x v="13"/>
    <x v="13"/>
    <x v="17"/>
    <x v="17"/>
    <x v="17"/>
    <x v="12"/>
    <x v="40"/>
    <x v="82"/>
    <x v="112"/>
    <x v="201"/>
    <x v="97"/>
    <x v="164"/>
    <x v="4"/>
  </r>
  <r>
    <x v="0"/>
    <x v="13"/>
    <x v="13"/>
    <x v="14"/>
    <x v="14"/>
    <x v="14"/>
    <x v="13"/>
    <x v="137"/>
    <x v="195"/>
    <x v="118"/>
    <x v="202"/>
    <x v="67"/>
    <x v="100"/>
    <x v="4"/>
  </r>
  <r>
    <x v="0"/>
    <x v="13"/>
    <x v="13"/>
    <x v="13"/>
    <x v="13"/>
    <x v="13"/>
    <x v="14"/>
    <x v="141"/>
    <x v="110"/>
    <x v="107"/>
    <x v="32"/>
    <x v="144"/>
    <x v="101"/>
    <x v="4"/>
  </r>
  <r>
    <x v="0"/>
    <x v="13"/>
    <x v="13"/>
    <x v="19"/>
    <x v="19"/>
    <x v="19"/>
    <x v="15"/>
    <x v="178"/>
    <x v="196"/>
    <x v="67"/>
    <x v="95"/>
    <x v="146"/>
    <x v="152"/>
    <x v="4"/>
  </r>
  <r>
    <x v="0"/>
    <x v="13"/>
    <x v="13"/>
    <x v="18"/>
    <x v="18"/>
    <x v="18"/>
    <x v="16"/>
    <x v="179"/>
    <x v="197"/>
    <x v="67"/>
    <x v="95"/>
    <x v="118"/>
    <x v="218"/>
    <x v="4"/>
  </r>
  <r>
    <x v="0"/>
    <x v="13"/>
    <x v="13"/>
    <x v="21"/>
    <x v="21"/>
    <x v="21"/>
    <x v="17"/>
    <x v="87"/>
    <x v="198"/>
    <x v="34"/>
    <x v="132"/>
    <x v="147"/>
    <x v="219"/>
    <x v="4"/>
  </r>
  <r>
    <x v="0"/>
    <x v="13"/>
    <x v="13"/>
    <x v="16"/>
    <x v="16"/>
    <x v="16"/>
    <x v="18"/>
    <x v="180"/>
    <x v="199"/>
    <x v="128"/>
    <x v="36"/>
    <x v="102"/>
    <x v="220"/>
    <x v="4"/>
  </r>
  <r>
    <x v="0"/>
    <x v="13"/>
    <x v="13"/>
    <x v="15"/>
    <x v="15"/>
    <x v="15"/>
    <x v="19"/>
    <x v="108"/>
    <x v="200"/>
    <x v="100"/>
    <x v="203"/>
    <x v="148"/>
    <x v="12"/>
    <x v="4"/>
  </r>
  <r>
    <x v="0"/>
    <x v="14"/>
    <x v="14"/>
    <x v="2"/>
    <x v="2"/>
    <x v="2"/>
    <x v="0"/>
    <x v="181"/>
    <x v="0"/>
    <x v="129"/>
    <x v="204"/>
    <x v="149"/>
    <x v="221"/>
    <x v="0"/>
  </r>
  <r>
    <x v="0"/>
    <x v="14"/>
    <x v="14"/>
    <x v="0"/>
    <x v="0"/>
    <x v="0"/>
    <x v="1"/>
    <x v="182"/>
    <x v="201"/>
    <x v="12"/>
    <x v="205"/>
    <x v="150"/>
    <x v="37"/>
    <x v="4"/>
  </r>
  <r>
    <x v="0"/>
    <x v="14"/>
    <x v="14"/>
    <x v="1"/>
    <x v="1"/>
    <x v="1"/>
    <x v="2"/>
    <x v="183"/>
    <x v="202"/>
    <x v="130"/>
    <x v="206"/>
    <x v="92"/>
    <x v="222"/>
    <x v="4"/>
  </r>
  <r>
    <x v="0"/>
    <x v="14"/>
    <x v="14"/>
    <x v="3"/>
    <x v="3"/>
    <x v="3"/>
    <x v="3"/>
    <x v="184"/>
    <x v="203"/>
    <x v="86"/>
    <x v="207"/>
    <x v="151"/>
    <x v="223"/>
    <x v="4"/>
  </r>
  <r>
    <x v="0"/>
    <x v="14"/>
    <x v="14"/>
    <x v="4"/>
    <x v="4"/>
    <x v="4"/>
    <x v="4"/>
    <x v="185"/>
    <x v="204"/>
    <x v="78"/>
    <x v="208"/>
    <x v="152"/>
    <x v="224"/>
    <x v="4"/>
  </r>
  <r>
    <x v="0"/>
    <x v="14"/>
    <x v="14"/>
    <x v="6"/>
    <x v="6"/>
    <x v="6"/>
    <x v="5"/>
    <x v="186"/>
    <x v="205"/>
    <x v="64"/>
    <x v="52"/>
    <x v="153"/>
    <x v="225"/>
    <x v="4"/>
  </r>
  <r>
    <x v="0"/>
    <x v="14"/>
    <x v="14"/>
    <x v="12"/>
    <x v="12"/>
    <x v="12"/>
    <x v="6"/>
    <x v="187"/>
    <x v="206"/>
    <x v="131"/>
    <x v="209"/>
    <x v="154"/>
    <x v="226"/>
    <x v="4"/>
  </r>
  <r>
    <x v="0"/>
    <x v="14"/>
    <x v="14"/>
    <x v="5"/>
    <x v="5"/>
    <x v="5"/>
    <x v="7"/>
    <x v="188"/>
    <x v="207"/>
    <x v="132"/>
    <x v="210"/>
    <x v="155"/>
    <x v="227"/>
    <x v="4"/>
  </r>
  <r>
    <x v="0"/>
    <x v="14"/>
    <x v="14"/>
    <x v="23"/>
    <x v="23"/>
    <x v="23"/>
    <x v="8"/>
    <x v="189"/>
    <x v="208"/>
    <x v="133"/>
    <x v="160"/>
    <x v="156"/>
    <x v="228"/>
    <x v="4"/>
  </r>
  <r>
    <x v="0"/>
    <x v="14"/>
    <x v="14"/>
    <x v="9"/>
    <x v="9"/>
    <x v="9"/>
    <x v="9"/>
    <x v="190"/>
    <x v="209"/>
    <x v="134"/>
    <x v="46"/>
    <x v="69"/>
    <x v="229"/>
    <x v="4"/>
  </r>
  <r>
    <x v="0"/>
    <x v="14"/>
    <x v="14"/>
    <x v="7"/>
    <x v="7"/>
    <x v="7"/>
    <x v="10"/>
    <x v="191"/>
    <x v="63"/>
    <x v="135"/>
    <x v="211"/>
    <x v="157"/>
    <x v="230"/>
    <x v="0"/>
  </r>
  <r>
    <x v="0"/>
    <x v="14"/>
    <x v="14"/>
    <x v="8"/>
    <x v="8"/>
    <x v="8"/>
    <x v="11"/>
    <x v="192"/>
    <x v="135"/>
    <x v="136"/>
    <x v="212"/>
    <x v="158"/>
    <x v="104"/>
    <x v="4"/>
  </r>
  <r>
    <x v="0"/>
    <x v="14"/>
    <x v="14"/>
    <x v="10"/>
    <x v="10"/>
    <x v="10"/>
    <x v="12"/>
    <x v="193"/>
    <x v="187"/>
    <x v="137"/>
    <x v="201"/>
    <x v="78"/>
    <x v="231"/>
    <x v="4"/>
  </r>
  <r>
    <x v="0"/>
    <x v="14"/>
    <x v="14"/>
    <x v="11"/>
    <x v="11"/>
    <x v="11"/>
    <x v="13"/>
    <x v="124"/>
    <x v="14"/>
    <x v="73"/>
    <x v="213"/>
    <x v="159"/>
    <x v="34"/>
    <x v="4"/>
  </r>
  <r>
    <x v="0"/>
    <x v="14"/>
    <x v="14"/>
    <x v="28"/>
    <x v="28"/>
    <x v="28"/>
    <x v="14"/>
    <x v="194"/>
    <x v="122"/>
    <x v="138"/>
    <x v="214"/>
    <x v="159"/>
    <x v="34"/>
    <x v="0"/>
  </r>
  <r>
    <x v="0"/>
    <x v="14"/>
    <x v="14"/>
    <x v="29"/>
    <x v="29"/>
    <x v="29"/>
    <x v="15"/>
    <x v="195"/>
    <x v="210"/>
    <x v="139"/>
    <x v="215"/>
    <x v="160"/>
    <x v="232"/>
    <x v="4"/>
  </r>
  <r>
    <x v="0"/>
    <x v="14"/>
    <x v="14"/>
    <x v="19"/>
    <x v="19"/>
    <x v="19"/>
    <x v="16"/>
    <x v="175"/>
    <x v="211"/>
    <x v="39"/>
    <x v="216"/>
    <x v="161"/>
    <x v="192"/>
    <x v="4"/>
  </r>
  <r>
    <x v="0"/>
    <x v="14"/>
    <x v="14"/>
    <x v="15"/>
    <x v="15"/>
    <x v="15"/>
    <x v="17"/>
    <x v="196"/>
    <x v="111"/>
    <x v="105"/>
    <x v="217"/>
    <x v="162"/>
    <x v="19"/>
    <x v="4"/>
  </r>
  <r>
    <x v="0"/>
    <x v="14"/>
    <x v="14"/>
    <x v="18"/>
    <x v="18"/>
    <x v="18"/>
    <x v="18"/>
    <x v="197"/>
    <x v="212"/>
    <x v="42"/>
    <x v="62"/>
    <x v="163"/>
    <x v="33"/>
    <x v="4"/>
  </r>
  <r>
    <x v="0"/>
    <x v="14"/>
    <x v="14"/>
    <x v="21"/>
    <x v="21"/>
    <x v="21"/>
    <x v="19"/>
    <x v="198"/>
    <x v="112"/>
    <x v="140"/>
    <x v="218"/>
    <x v="164"/>
    <x v="14"/>
    <x v="4"/>
  </r>
  <r>
    <x v="0"/>
    <x v="14"/>
    <x v="14"/>
    <x v="13"/>
    <x v="13"/>
    <x v="13"/>
    <x v="19"/>
    <x v="198"/>
    <x v="112"/>
    <x v="76"/>
    <x v="219"/>
    <x v="165"/>
    <x v="233"/>
    <x v="4"/>
  </r>
  <r>
    <x v="0"/>
    <x v="15"/>
    <x v="15"/>
    <x v="0"/>
    <x v="0"/>
    <x v="0"/>
    <x v="0"/>
    <x v="199"/>
    <x v="213"/>
    <x v="141"/>
    <x v="220"/>
    <x v="104"/>
    <x v="234"/>
    <x v="4"/>
  </r>
  <r>
    <x v="0"/>
    <x v="15"/>
    <x v="15"/>
    <x v="1"/>
    <x v="1"/>
    <x v="1"/>
    <x v="1"/>
    <x v="176"/>
    <x v="214"/>
    <x v="137"/>
    <x v="221"/>
    <x v="93"/>
    <x v="59"/>
    <x v="4"/>
  </r>
  <r>
    <x v="0"/>
    <x v="15"/>
    <x v="15"/>
    <x v="3"/>
    <x v="3"/>
    <x v="3"/>
    <x v="2"/>
    <x v="82"/>
    <x v="215"/>
    <x v="108"/>
    <x v="222"/>
    <x v="69"/>
    <x v="235"/>
    <x v="4"/>
  </r>
  <r>
    <x v="0"/>
    <x v="15"/>
    <x v="15"/>
    <x v="5"/>
    <x v="5"/>
    <x v="5"/>
    <x v="3"/>
    <x v="141"/>
    <x v="216"/>
    <x v="107"/>
    <x v="84"/>
    <x v="126"/>
    <x v="236"/>
    <x v="4"/>
  </r>
  <r>
    <x v="0"/>
    <x v="15"/>
    <x v="15"/>
    <x v="4"/>
    <x v="4"/>
    <x v="4"/>
    <x v="4"/>
    <x v="200"/>
    <x v="217"/>
    <x v="142"/>
    <x v="223"/>
    <x v="88"/>
    <x v="237"/>
    <x v="4"/>
  </r>
  <r>
    <x v="0"/>
    <x v="15"/>
    <x v="15"/>
    <x v="2"/>
    <x v="2"/>
    <x v="2"/>
    <x v="5"/>
    <x v="63"/>
    <x v="168"/>
    <x v="65"/>
    <x v="224"/>
    <x v="145"/>
    <x v="238"/>
    <x v="4"/>
  </r>
  <r>
    <x v="0"/>
    <x v="15"/>
    <x v="15"/>
    <x v="8"/>
    <x v="8"/>
    <x v="8"/>
    <x v="6"/>
    <x v="44"/>
    <x v="218"/>
    <x v="78"/>
    <x v="8"/>
    <x v="93"/>
    <x v="59"/>
    <x v="4"/>
  </r>
  <r>
    <x v="0"/>
    <x v="15"/>
    <x v="15"/>
    <x v="11"/>
    <x v="11"/>
    <x v="11"/>
    <x v="7"/>
    <x v="87"/>
    <x v="219"/>
    <x v="118"/>
    <x v="225"/>
    <x v="129"/>
    <x v="76"/>
    <x v="4"/>
  </r>
  <r>
    <x v="0"/>
    <x v="15"/>
    <x v="15"/>
    <x v="7"/>
    <x v="7"/>
    <x v="7"/>
    <x v="8"/>
    <x v="108"/>
    <x v="220"/>
    <x v="55"/>
    <x v="226"/>
    <x v="166"/>
    <x v="239"/>
    <x v="4"/>
  </r>
  <r>
    <x v="0"/>
    <x v="15"/>
    <x v="15"/>
    <x v="6"/>
    <x v="6"/>
    <x v="6"/>
    <x v="9"/>
    <x v="201"/>
    <x v="221"/>
    <x v="103"/>
    <x v="227"/>
    <x v="91"/>
    <x v="240"/>
    <x v="4"/>
  </r>
  <r>
    <x v="0"/>
    <x v="15"/>
    <x v="15"/>
    <x v="30"/>
    <x v="30"/>
    <x v="30"/>
    <x v="10"/>
    <x v="67"/>
    <x v="222"/>
    <x v="35"/>
    <x v="228"/>
    <x v="52"/>
    <x v="13"/>
    <x v="4"/>
  </r>
  <r>
    <x v="0"/>
    <x v="15"/>
    <x v="15"/>
    <x v="9"/>
    <x v="9"/>
    <x v="9"/>
    <x v="11"/>
    <x v="153"/>
    <x v="109"/>
    <x v="74"/>
    <x v="196"/>
    <x v="167"/>
    <x v="241"/>
    <x v="4"/>
  </r>
  <r>
    <x v="0"/>
    <x v="15"/>
    <x v="15"/>
    <x v="17"/>
    <x v="17"/>
    <x v="17"/>
    <x v="12"/>
    <x v="89"/>
    <x v="223"/>
    <x v="80"/>
    <x v="229"/>
    <x v="46"/>
    <x v="46"/>
    <x v="4"/>
  </r>
  <r>
    <x v="0"/>
    <x v="15"/>
    <x v="15"/>
    <x v="13"/>
    <x v="13"/>
    <x v="13"/>
    <x v="13"/>
    <x v="71"/>
    <x v="161"/>
    <x v="45"/>
    <x v="230"/>
    <x v="72"/>
    <x v="22"/>
    <x v="4"/>
  </r>
  <r>
    <x v="0"/>
    <x v="15"/>
    <x v="15"/>
    <x v="18"/>
    <x v="18"/>
    <x v="18"/>
    <x v="14"/>
    <x v="72"/>
    <x v="173"/>
    <x v="96"/>
    <x v="231"/>
    <x v="73"/>
    <x v="242"/>
    <x v="4"/>
  </r>
  <r>
    <x v="0"/>
    <x v="15"/>
    <x v="15"/>
    <x v="14"/>
    <x v="14"/>
    <x v="14"/>
    <x v="15"/>
    <x v="73"/>
    <x v="35"/>
    <x v="60"/>
    <x v="232"/>
    <x v="55"/>
    <x v="53"/>
    <x v="4"/>
  </r>
  <r>
    <x v="0"/>
    <x v="15"/>
    <x v="15"/>
    <x v="10"/>
    <x v="10"/>
    <x v="10"/>
    <x v="15"/>
    <x v="73"/>
    <x v="35"/>
    <x v="89"/>
    <x v="233"/>
    <x v="47"/>
    <x v="47"/>
    <x v="4"/>
  </r>
  <r>
    <x v="0"/>
    <x v="15"/>
    <x v="15"/>
    <x v="20"/>
    <x v="20"/>
    <x v="20"/>
    <x v="17"/>
    <x v="145"/>
    <x v="67"/>
    <x v="59"/>
    <x v="234"/>
    <x v="50"/>
    <x v="49"/>
    <x v="4"/>
  </r>
  <r>
    <x v="0"/>
    <x v="15"/>
    <x v="15"/>
    <x v="16"/>
    <x v="16"/>
    <x v="16"/>
    <x v="18"/>
    <x v="119"/>
    <x v="224"/>
    <x v="38"/>
    <x v="235"/>
    <x v="62"/>
    <x v="164"/>
    <x v="4"/>
  </r>
  <r>
    <x v="0"/>
    <x v="15"/>
    <x v="15"/>
    <x v="31"/>
    <x v="31"/>
    <x v="31"/>
    <x v="19"/>
    <x v="112"/>
    <x v="225"/>
    <x v="96"/>
    <x v="231"/>
    <x v="112"/>
    <x v="243"/>
    <x v="4"/>
  </r>
  <r>
    <x v="0"/>
    <x v="15"/>
    <x v="15"/>
    <x v="19"/>
    <x v="19"/>
    <x v="19"/>
    <x v="19"/>
    <x v="112"/>
    <x v="225"/>
    <x v="41"/>
    <x v="117"/>
    <x v="52"/>
    <x v="13"/>
    <x v="4"/>
  </r>
  <r>
    <x v="0"/>
    <x v="15"/>
    <x v="15"/>
    <x v="21"/>
    <x v="21"/>
    <x v="21"/>
    <x v="19"/>
    <x v="112"/>
    <x v="225"/>
    <x v="100"/>
    <x v="236"/>
    <x v="53"/>
    <x v="51"/>
    <x v="4"/>
  </r>
  <r>
    <x v="0"/>
    <x v="15"/>
    <x v="15"/>
    <x v="15"/>
    <x v="15"/>
    <x v="15"/>
    <x v="19"/>
    <x v="112"/>
    <x v="225"/>
    <x v="59"/>
    <x v="234"/>
    <x v="72"/>
    <x v="22"/>
    <x v="4"/>
  </r>
  <r>
    <x v="0"/>
    <x v="16"/>
    <x v="16"/>
    <x v="1"/>
    <x v="1"/>
    <x v="1"/>
    <x v="0"/>
    <x v="202"/>
    <x v="226"/>
    <x v="143"/>
    <x v="237"/>
    <x v="102"/>
    <x v="61"/>
    <x v="0"/>
  </r>
  <r>
    <x v="0"/>
    <x v="16"/>
    <x v="16"/>
    <x v="0"/>
    <x v="0"/>
    <x v="0"/>
    <x v="1"/>
    <x v="58"/>
    <x v="227"/>
    <x v="144"/>
    <x v="238"/>
    <x v="74"/>
    <x v="244"/>
    <x v="4"/>
  </r>
  <r>
    <x v="0"/>
    <x v="16"/>
    <x v="16"/>
    <x v="4"/>
    <x v="4"/>
    <x v="4"/>
    <x v="2"/>
    <x v="78"/>
    <x v="153"/>
    <x v="145"/>
    <x v="8"/>
    <x v="86"/>
    <x v="245"/>
    <x v="4"/>
  </r>
  <r>
    <x v="0"/>
    <x v="16"/>
    <x v="16"/>
    <x v="5"/>
    <x v="5"/>
    <x v="5"/>
    <x v="3"/>
    <x v="106"/>
    <x v="228"/>
    <x v="108"/>
    <x v="239"/>
    <x v="123"/>
    <x v="246"/>
    <x v="4"/>
  </r>
  <r>
    <x v="0"/>
    <x v="16"/>
    <x v="16"/>
    <x v="2"/>
    <x v="2"/>
    <x v="2"/>
    <x v="4"/>
    <x v="140"/>
    <x v="229"/>
    <x v="83"/>
    <x v="101"/>
    <x v="70"/>
    <x v="247"/>
    <x v="0"/>
  </r>
  <r>
    <x v="0"/>
    <x v="16"/>
    <x v="16"/>
    <x v="8"/>
    <x v="8"/>
    <x v="8"/>
    <x v="5"/>
    <x v="40"/>
    <x v="230"/>
    <x v="146"/>
    <x v="240"/>
    <x v="89"/>
    <x v="159"/>
    <x v="4"/>
  </r>
  <r>
    <x v="0"/>
    <x v="16"/>
    <x v="16"/>
    <x v="3"/>
    <x v="3"/>
    <x v="3"/>
    <x v="6"/>
    <x v="137"/>
    <x v="92"/>
    <x v="147"/>
    <x v="241"/>
    <x v="61"/>
    <x v="248"/>
    <x v="4"/>
  </r>
  <r>
    <x v="0"/>
    <x v="16"/>
    <x v="16"/>
    <x v="7"/>
    <x v="7"/>
    <x v="7"/>
    <x v="7"/>
    <x v="203"/>
    <x v="231"/>
    <x v="118"/>
    <x v="242"/>
    <x v="62"/>
    <x v="86"/>
    <x v="0"/>
  </r>
  <r>
    <x v="0"/>
    <x v="16"/>
    <x v="16"/>
    <x v="11"/>
    <x v="11"/>
    <x v="11"/>
    <x v="8"/>
    <x v="66"/>
    <x v="232"/>
    <x v="148"/>
    <x v="243"/>
    <x v="110"/>
    <x v="249"/>
    <x v="4"/>
  </r>
  <r>
    <x v="0"/>
    <x v="16"/>
    <x v="16"/>
    <x v="9"/>
    <x v="9"/>
    <x v="9"/>
    <x v="9"/>
    <x v="204"/>
    <x v="233"/>
    <x v="149"/>
    <x v="244"/>
    <x v="47"/>
    <x v="250"/>
    <x v="4"/>
  </r>
  <r>
    <x v="0"/>
    <x v="16"/>
    <x v="16"/>
    <x v="10"/>
    <x v="10"/>
    <x v="10"/>
    <x v="10"/>
    <x v="100"/>
    <x v="234"/>
    <x v="44"/>
    <x v="245"/>
    <x v="54"/>
    <x v="124"/>
    <x v="0"/>
  </r>
  <r>
    <x v="0"/>
    <x v="16"/>
    <x v="16"/>
    <x v="6"/>
    <x v="6"/>
    <x v="6"/>
    <x v="11"/>
    <x v="90"/>
    <x v="235"/>
    <x v="42"/>
    <x v="246"/>
    <x v="73"/>
    <x v="0"/>
    <x v="4"/>
  </r>
  <r>
    <x v="0"/>
    <x v="16"/>
    <x v="16"/>
    <x v="14"/>
    <x v="14"/>
    <x v="14"/>
    <x v="12"/>
    <x v="101"/>
    <x v="66"/>
    <x v="31"/>
    <x v="188"/>
    <x v="53"/>
    <x v="63"/>
    <x v="4"/>
  </r>
  <r>
    <x v="0"/>
    <x v="16"/>
    <x v="16"/>
    <x v="20"/>
    <x v="20"/>
    <x v="20"/>
    <x v="13"/>
    <x v="70"/>
    <x v="236"/>
    <x v="47"/>
    <x v="47"/>
    <x v="97"/>
    <x v="251"/>
    <x v="4"/>
  </r>
  <r>
    <x v="0"/>
    <x v="16"/>
    <x v="16"/>
    <x v="17"/>
    <x v="17"/>
    <x v="17"/>
    <x v="14"/>
    <x v="71"/>
    <x v="174"/>
    <x v="89"/>
    <x v="247"/>
    <x v="54"/>
    <x v="124"/>
    <x v="4"/>
  </r>
  <r>
    <x v="0"/>
    <x v="16"/>
    <x v="16"/>
    <x v="13"/>
    <x v="13"/>
    <x v="13"/>
    <x v="15"/>
    <x v="145"/>
    <x v="237"/>
    <x v="67"/>
    <x v="51"/>
    <x v="72"/>
    <x v="252"/>
    <x v="4"/>
  </r>
  <r>
    <x v="0"/>
    <x v="16"/>
    <x v="16"/>
    <x v="18"/>
    <x v="18"/>
    <x v="18"/>
    <x v="16"/>
    <x v="146"/>
    <x v="86"/>
    <x v="49"/>
    <x v="248"/>
    <x v="93"/>
    <x v="15"/>
    <x v="4"/>
  </r>
  <r>
    <x v="0"/>
    <x v="16"/>
    <x v="16"/>
    <x v="12"/>
    <x v="12"/>
    <x v="12"/>
    <x v="17"/>
    <x v="50"/>
    <x v="238"/>
    <x v="49"/>
    <x v="248"/>
    <x v="72"/>
    <x v="252"/>
    <x v="4"/>
  </r>
  <r>
    <x v="0"/>
    <x v="16"/>
    <x v="16"/>
    <x v="15"/>
    <x v="15"/>
    <x v="15"/>
    <x v="18"/>
    <x v="52"/>
    <x v="188"/>
    <x v="59"/>
    <x v="249"/>
    <x v="110"/>
    <x v="249"/>
    <x v="4"/>
  </r>
  <r>
    <x v="0"/>
    <x v="16"/>
    <x v="16"/>
    <x v="16"/>
    <x v="16"/>
    <x v="16"/>
    <x v="18"/>
    <x v="52"/>
    <x v="188"/>
    <x v="67"/>
    <x v="51"/>
    <x v="114"/>
    <x v="253"/>
    <x v="4"/>
  </r>
  <r>
    <x v="0"/>
    <x v="17"/>
    <x v="17"/>
    <x v="0"/>
    <x v="0"/>
    <x v="0"/>
    <x v="0"/>
    <x v="205"/>
    <x v="239"/>
    <x v="150"/>
    <x v="250"/>
    <x v="168"/>
    <x v="254"/>
    <x v="4"/>
  </r>
  <r>
    <x v="0"/>
    <x v="17"/>
    <x v="17"/>
    <x v="2"/>
    <x v="2"/>
    <x v="2"/>
    <x v="1"/>
    <x v="169"/>
    <x v="240"/>
    <x v="151"/>
    <x v="251"/>
    <x v="169"/>
    <x v="255"/>
    <x v="4"/>
  </r>
  <r>
    <x v="0"/>
    <x v="17"/>
    <x v="17"/>
    <x v="1"/>
    <x v="1"/>
    <x v="1"/>
    <x v="2"/>
    <x v="206"/>
    <x v="241"/>
    <x v="152"/>
    <x v="252"/>
    <x v="41"/>
    <x v="204"/>
    <x v="0"/>
  </r>
  <r>
    <x v="0"/>
    <x v="17"/>
    <x v="17"/>
    <x v="3"/>
    <x v="3"/>
    <x v="3"/>
    <x v="3"/>
    <x v="207"/>
    <x v="242"/>
    <x v="145"/>
    <x v="253"/>
    <x v="122"/>
    <x v="256"/>
    <x v="4"/>
  </r>
  <r>
    <x v="0"/>
    <x v="17"/>
    <x v="17"/>
    <x v="4"/>
    <x v="4"/>
    <x v="4"/>
    <x v="4"/>
    <x v="208"/>
    <x v="243"/>
    <x v="70"/>
    <x v="167"/>
    <x v="170"/>
    <x v="257"/>
    <x v="4"/>
  </r>
  <r>
    <x v="0"/>
    <x v="17"/>
    <x v="17"/>
    <x v="5"/>
    <x v="5"/>
    <x v="5"/>
    <x v="5"/>
    <x v="209"/>
    <x v="244"/>
    <x v="126"/>
    <x v="254"/>
    <x v="136"/>
    <x v="258"/>
    <x v="0"/>
  </r>
  <r>
    <x v="0"/>
    <x v="17"/>
    <x v="17"/>
    <x v="9"/>
    <x v="9"/>
    <x v="9"/>
    <x v="6"/>
    <x v="132"/>
    <x v="245"/>
    <x v="153"/>
    <x v="255"/>
    <x v="65"/>
    <x v="259"/>
    <x v="4"/>
  </r>
  <r>
    <x v="0"/>
    <x v="17"/>
    <x v="17"/>
    <x v="7"/>
    <x v="7"/>
    <x v="7"/>
    <x v="7"/>
    <x v="210"/>
    <x v="246"/>
    <x v="125"/>
    <x v="256"/>
    <x v="44"/>
    <x v="33"/>
    <x v="0"/>
  </r>
  <r>
    <x v="0"/>
    <x v="17"/>
    <x v="17"/>
    <x v="10"/>
    <x v="10"/>
    <x v="10"/>
    <x v="8"/>
    <x v="175"/>
    <x v="247"/>
    <x v="154"/>
    <x v="101"/>
    <x v="83"/>
    <x v="158"/>
    <x v="4"/>
  </r>
  <r>
    <x v="0"/>
    <x v="17"/>
    <x v="17"/>
    <x v="8"/>
    <x v="8"/>
    <x v="8"/>
    <x v="9"/>
    <x v="211"/>
    <x v="94"/>
    <x v="106"/>
    <x v="257"/>
    <x v="86"/>
    <x v="101"/>
    <x v="0"/>
  </r>
  <r>
    <x v="0"/>
    <x v="17"/>
    <x v="17"/>
    <x v="6"/>
    <x v="6"/>
    <x v="6"/>
    <x v="10"/>
    <x v="212"/>
    <x v="248"/>
    <x v="58"/>
    <x v="131"/>
    <x v="171"/>
    <x v="260"/>
    <x v="4"/>
  </r>
  <r>
    <x v="0"/>
    <x v="17"/>
    <x v="17"/>
    <x v="11"/>
    <x v="11"/>
    <x v="11"/>
    <x v="11"/>
    <x v="134"/>
    <x v="249"/>
    <x v="55"/>
    <x v="258"/>
    <x v="84"/>
    <x v="261"/>
    <x v="4"/>
  </r>
  <r>
    <x v="0"/>
    <x v="17"/>
    <x v="17"/>
    <x v="13"/>
    <x v="13"/>
    <x v="13"/>
    <x v="12"/>
    <x v="80"/>
    <x v="31"/>
    <x v="88"/>
    <x v="23"/>
    <x v="172"/>
    <x v="262"/>
    <x v="4"/>
  </r>
  <r>
    <x v="0"/>
    <x v="17"/>
    <x v="17"/>
    <x v="15"/>
    <x v="15"/>
    <x v="15"/>
    <x v="13"/>
    <x v="213"/>
    <x v="250"/>
    <x v="41"/>
    <x v="234"/>
    <x v="173"/>
    <x v="21"/>
    <x v="4"/>
  </r>
  <r>
    <x v="0"/>
    <x v="17"/>
    <x v="17"/>
    <x v="14"/>
    <x v="14"/>
    <x v="14"/>
    <x v="14"/>
    <x v="130"/>
    <x v="251"/>
    <x v="155"/>
    <x v="202"/>
    <x v="42"/>
    <x v="206"/>
    <x v="4"/>
  </r>
  <r>
    <x v="0"/>
    <x v="17"/>
    <x v="17"/>
    <x v="16"/>
    <x v="16"/>
    <x v="16"/>
    <x v="15"/>
    <x v="98"/>
    <x v="149"/>
    <x v="84"/>
    <x v="137"/>
    <x v="67"/>
    <x v="180"/>
    <x v="4"/>
  </r>
  <r>
    <x v="0"/>
    <x v="17"/>
    <x v="17"/>
    <x v="12"/>
    <x v="12"/>
    <x v="12"/>
    <x v="16"/>
    <x v="179"/>
    <x v="238"/>
    <x v="45"/>
    <x v="259"/>
    <x v="67"/>
    <x v="180"/>
    <x v="4"/>
  </r>
  <r>
    <x v="0"/>
    <x v="17"/>
    <x v="17"/>
    <x v="19"/>
    <x v="19"/>
    <x v="19"/>
    <x v="17"/>
    <x v="107"/>
    <x v="18"/>
    <x v="100"/>
    <x v="145"/>
    <x v="113"/>
    <x v="114"/>
    <x v="4"/>
  </r>
  <r>
    <x v="0"/>
    <x v="17"/>
    <x v="17"/>
    <x v="18"/>
    <x v="18"/>
    <x v="18"/>
    <x v="18"/>
    <x v="144"/>
    <x v="54"/>
    <x v="67"/>
    <x v="18"/>
    <x v="174"/>
    <x v="263"/>
    <x v="4"/>
  </r>
  <r>
    <x v="0"/>
    <x v="17"/>
    <x v="17"/>
    <x v="21"/>
    <x v="21"/>
    <x v="21"/>
    <x v="19"/>
    <x v="65"/>
    <x v="252"/>
    <x v="34"/>
    <x v="260"/>
    <x v="57"/>
    <x v="90"/>
    <x v="4"/>
  </r>
  <r>
    <x v="0"/>
    <x v="17"/>
    <x v="17"/>
    <x v="22"/>
    <x v="22"/>
    <x v="22"/>
    <x v="19"/>
    <x v="65"/>
    <x v="252"/>
    <x v="33"/>
    <x v="261"/>
    <x v="174"/>
    <x v="263"/>
    <x v="0"/>
  </r>
  <r>
    <x v="0"/>
    <x v="18"/>
    <x v="18"/>
    <x v="1"/>
    <x v="1"/>
    <x v="1"/>
    <x v="0"/>
    <x v="214"/>
    <x v="253"/>
    <x v="156"/>
    <x v="262"/>
    <x v="48"/>
    <x v="264"/>
    <x v="4"/>
  </r>
  <r>
    <x v="0"/>
    <x v="18"/>
    <x v="18"/>
    <x v="0"/>
    <x v="0"/>
    <x v="0"/>
    <x v="1"/>
    <x v="215"/>
    <x v="254"/>
    <x v="99"/>
    <x v="263"/>
    <x v="74"/>
    <x v="33"/>
    <x v="4"/>
  </r>
  <r>
    <x v="0"/>
    <x v="18"/>
    <x v="18"/>
    <x v="4"/>
    <x v="4"/>
    <x v="4"/>
    <x v="2"/>
    <x v="140"/>
    <x v="255"/>
    <x v="70"/>
    <x v="264"/>
    <x v="63"/>
    <x v="265"/>
    <x v="4"/>
  </r>
  <r>
    <x v="0"/>
    <x v="18"/>
    <x v="18"/>
    <x v="2"/>
    <x v="2"/>
    <x v="2"/>
    <x v="3"/>
    <x v="116"/>
    <x v="256"/>
    <x v="85"/>
    <x v="265"/>
    <x v="175"/>
    <x v="266"/>
    <x v="4"/>
  </r>
  <r>
    <x v="0"/>
    <x v="18"/>
    <x v="18"/>
    <x v="3"/>
    <x v="3"/>
    <x v="3"/>
    <x v="4"/>
    <x v="130"/>
    <x v="117"/>
    <x v="149"/>
    <x v="257"/>
    <x v="109"/>
    <x v="267"/>
    <x v="4"/>
  </r>
  <r>
    <x v="0"/>
    <x v="18"/>
    <x v="18"/>
    <x v="8"/>
    <x v="8"/>
    <x v="8"/>
    <x v="5"/>
    <x v="216"/>
    <x v="257"/>
    <x v="138"/>
    <x v="266"/>
    <x v="93"/>
    <x v="268"/>
    <x v="4"/>
  </r>
  <r>
    <x v="0"/>
    <x v="18"/>
    <x v="18"/>
    <x v="5"/>
    <x v="5"/>
    <x v="5"/>
    <x v="6"/>
    <x v="217"/>
    <x v="258"/>
    <x v="109"/>
    <x v="267"/>
    <x v="109"/>
    <x v="267"/>
    <x v="4"/>
  </r>
  <r>
    <x v="0"/>
    <x v="18"/>
    <x v="18"/>
    <x v="7"/>
    <x v="7"/>
    <x v="7"/>
    <x v="7"/>
    <x v="218"/>
    <x v="259"/>
    <x v="82"/>
    <x v="268"/>
    <x v="112"/>
    <x v="269"/>
    <x v="0"/>
  </r>
  <r>
    <x v="0"/>
    <x v="18"/>
    <x v="18"/>
    <x v="9"/>
    <x v="9"/>
    <x v="9"/>
    <x v="8"/>
    <x v="109"/>
    <x v="221"/>
    <x v="78"/>
    <x v="269"/>
    <x v="47"/>
    <x v="9"/>
    <x v="4"/>
  </r>
  <r>
    <x v="0"/>
    <x v="18"/>
    <x v="18"/>
    <x v="6"/>
    <x v="6"/>
    <x v="6"/>
    <x v="9"/>
    <x v="138"/>
    <x v="260"/>
    <x v="157"/>
    <x v="246"/>
    <x v="91"/>
    <x v="270"/>
    <x v="4"/>
  </r>
  <r>
    <x v="0"/>
    <x v="18"/>
    <x v="18"/>
    <x v="11"/>
    <x v="11"/>
    <x v="11"/>
    <x v="10"/>
    <x v="88"/>
    <x v="261"/>
    <x v="104"/>
    <x v="270"/>
    <x v="74"/>
    <x v="33"/>
    <x v="4"/>
  </r>
  <r>
    <x v="0"/>
    <x v="18"/>
    <x v="18"/>
    <x v="10"/>
    <x v="10"/>
    <x v="10"/>
    <x v="11"/>
    <x v="46"/>
    <x v="262"/>
    <x v="31"/>
    <x v="271"/>
    <x v="110"/>
    <x v="271"/>
    <x v="4"/>
  </r>
  <r>
    <x v="0"/>
    <x v="18"/>
    <x v="18"/>
    <x v="20"/>
    <x v="20"/>
    <x v="20"/>
    <x v="12"/>
    <x v="69"/>
    <x v="263"/>
    <x v="47"/>
    <x v="47"/>
    <x v="176"/>
    <x v="272"/>
    <x v="0"/>
  </r>
  <r>
    <x v="0"/>
    <x v="18"/>
    <x v="18"/>
    <x v="14"/>
    <x v="14"/>
    <x v="14"/>
    <x v="13"/>
    <x v="101"/>
    <x v="82"/>
    <x v="31"/>
    <x v="271"/>
    <x v="53"/>
    <x v="192"/>
    <x v="4"/>
  </r>
  <r>
    <x v="0"/>
    <x v="18"/>
    <x v="18"/>
    <x v="13"/>
    <x v="13"/>
    <x v="13"/>
    <x v="14"/>
    <x v="72"/>
    <x v="236"/>
    <x v="157"/>
    <x v="246"/>
    <x v="43"/>
    <x v="163"/>
    <x v="4"/>
  </r>
  <r>
    <x v="0"/>
    <x v="18"/>
    <x v="18"/>
    <x v="17"/>
    <x v="17"/>
    <x v="17"/>
    <x v="15"/>
    <x v="73"/>
    <x v="264"/>
    <x v="140"/>
    <x v="25"/>
    <x v="128"/>
    <x v="259"/>
    <x v="4"/>
  </r>
  <r>
    <x v="0"/>
    <x v="18"/>
    <x v="18"/>
    <x v="16"/>
    <x v="16"/>
    <x v="16"/>
    <x v="16"/>
    <x v="50"/>
    <x v="16"/>
    <x v="96"/>
    <x v="272"/>
    <x v="74"/>
    <x v="33"/>
    <x v="4"/>
  </r>
  <r>
    <x v="0"/>
    <x v="18"/>
    <x v="18"/>
    <x v="15"/>
    <x v="15"/>
    <x v="15"/>
    <x v="17"/>
    <x v="112"/>
    <x v="265"/>
    <x v="47"/>
    <x v="47"/>
    <x v="73"/>
    <x v="78"/>
    <x v="4"/>
  </r>
  <r>
    <x v="0"/>
    <x v="18"/>
    <x v="18"/>
    <x v="32"/>
    <x v="32"/>
    <x v="32"/>
    <x v="18"/>
    <x v="54"/>
    <x v="266"/>
    <x v="37"/>
    <x v="273"/>
    <x v="177"/>
    <x v="273"/>
    <x v="4"/>
  </r>
  <r>
    <x v="0"/>
    <x v="18"/>
    <x v="18"/>
    <x v="33"/>
    <x v="33"/>
    <x v="33"/>
    <x v="19"/>
    <x v="55"/>
    <x v="267"/>
    <x v="96"/>
    <x v="272"/>
    <x v="128"/>
    <x v="259"/>
    <x v="4"/>
  </r>
  <r>
    <x v="0"/>
    <x v="18"/>
    <x v="18"/>
    <x v="12"/>
    <x v="12"/>
    <x v="12"/>
    <x v="19"/>
    <x v="55"/>
    <x v="267"/>
    <x v="67"/>
    <x v="274"/>
    <x v="166"/>
    <x v="274"/>
    <x v="4"/>
  </r>
  <r>
    <x v="0"/>
    <x v="19"/>
    <x v="19"/>
    <x v="0"/>
    <x v="0"/>
    <x v="0"/>
    <x v="0"/>
    <x v="219"/>
    <x v="268"/>
    <x v="158"/>
    <x v="275"/>
    <x v="110"/>
    <x v="13"/>
    <x v="4"/>
  </r>
  <r>
    <x v="0"/>
    <x v="19"/>
    <x v="19"/>
    <x v="1"/>
    <x v="1"/>
    <x v="1"/>
    <x v="1"/>
    <x v="198"/>
    <x v="269"/>
    <x v="93"/>
    <x v="276"/>
    <x v="104"/>
    <x v="176"/>
    <x v="4"/>
  </r>
  <r>
    <x v="0"/>
    <x v="19"/>
    <x v="19"/>
    <x v="4"/>
    <x v="4"/>
    <x v="4"/>
    <x v="2"/>
    <x v="177"/>
    <x v="270"/>
    <x v="147"/>
    <x v="39"/>
    <x v="84"/>
    <x v="257"/>
    <x v="4"/>
  </r>
  <r>
    <x v="0"/>
    <x v="19"/>
    <x v="19"/>
    <x v="5"/>
    <x v="5"/>
    <x v="5"/>
    <x v="3"/>
    <x v="220"/>
    <x v="271"/>
    <x v="138"/>
    <x v="277"/>
    <x v="42"/>
    <x v="247"/>
    <x v="4"/>
  </r>
  <r>
    <x v="0"/>
    <x v="19"/>
    <x v="19"/>
    <x v="3"/>
    <x v="3"/>
    <x v="3"/>
    <x v="4"/>
    <x v="139"/>
    <x v="272"/>
    <x v="117"/>
    <x v="278"/>
    <x v="178"/>
    <x v="275"/>
    <x v="4"/>
  </r>
  <r>
    <x v="0"/>
    <x v="19"/>
    <x v="19"/>
    <x v="6"/>
    <x v="6"/>
    <x v="6"/>
    <x v="5"/>
    <x v="129"/>
    <x v="204"/>
    <x v="46"/>
    <x v="279"/>
    <x v="64"/>
    <x v="276"/>
    <x v="4"/>
  </r>
  <r>
    <x v="0"/>
    <x v="19"/>
    <x v="19"/>
    <x v="8"/>
    <x v="8"/>
    <x v="8"/>
    <x v="6"/>
    <x v="83"/>
    <x v="273"/>
    <x v="159"/>
    <x v="280"/>
    <x v="50"/>
    <x v="277"/>
    <x v="4"/>
  </r>
  <r>
    <x v="0"/>
    <x v="19"/>
    <x v="19"/>
    <x v="2"/>
    <x v="2"/>
    <x v="2"/>
    <x v="7"/>
    <x v="62"/>
    <x v="274"/>
    <x v="78"/>
    <x v="281"/>
    <x v="105"/>
    <x v="278"/>
    <x v="4"/>
  </r>
  <r>
    <x v="0"/>
    <x v="19"/>
    <x v="19"/>
    <x v="7"/>
    <x v="7"/>
    <x v="7"/>
    <x v="8"/>
    <x v="63"/>
    <x v="275"/>
    <x v="108"/>
    <x v="282"/>
    <x v="74"/>
    <x v="231"/>
    <x v="4"/>
  </r>
  <r>
    <x v="0"/>
    <x v="19"/>
    <x v="19"/>
    <x v="11"/>
    <x v="11"/>
    <x v="11"/>
    <x v="9"/>
    <x v="108"/>
    <x v="108"/>
    <x v="118"/>
    <x v="283"/>
    <x v="48"/>
    <x v="102"/>
    <x v="4"/>
  </r>
  <r>
    <x v="0"/>
    <x v="19"/>
    <x v="19"/>
    <x v="9"/>
    <x v="9"/>
    <x v="9"/>
    <x v="10"/>
    <x v="109"/>
    <x v="261"/>
    <x v="149"/>
    <x v="284"/>
    <x v="179"/>
    <x v="279"/>
    <x v="4"/>
  </r>
  <r>
    <x v="0"/>
    <x v="19"/>
    <x v="19"/>
    <x v="17"/>
    <x v="17"/>
    <x v="17"/>
    <x v="11"/>
    <x v="89"/>
    <x v="196"/>
    <x v="80"/>
    <x v="178"/>
    <x v="46"/>
    <x v="280"/>
    <x v="4"/>
  </r>
  <r>
    <x v="0"/>
    <x v="19"/>
    <x v="19"/>
    <x v="12"/>
    <x v="12"/>
    <x v="12"/>
    <x v="12"/>
    <x v="101"/>
    <x v="173"/>
    <x v="68"/>
    <x v="285"/>
    <x v="97"/>
    <x v="281"/>
    <x v="4"/>
  </r>
  <r>
    <x v="0"/>
    <x v="19"/>
    <x v="19"/>
    <x v="10"/>
    <x v="10"/>
    <x v="10"/>
    <x v="13"/>
    <x v="48"/>
    <x v="264"/>
    <x v="140"/>
    <x v="247"/>
    <x v="114"/>
    <x v="282"/>
    <x v="4"/>
  </r>
  <r>
    <x v="0"/>
    <x v="19"/>
    <x v="19"/>
    <x v="14"/>
    <x v="14"/>
    <x v="14"/>
    <x v="14"/>
    <x v="102"/>
    <x v="276"/>
    <x v="157"/>
    <x v="97"/>
    <x v="108"/>
    <x v="283"/>
    <x v="4"/>
  </r>
  <r>
    <x v="0"/>
    <x v="19"/>
    <x v="19"/>
    <x v="16"/>
    <x v="16"/>
    <x v="16"/>
    <x v="14"/>
    <x v="102"/>
    <x v="276"/>
    <x v="89"/>
    <x v="207"/>
    <x v="62"/>
    <x v="284"/>
    <x v="4"/>
  </r>
  <r>
    <x v="0"/>
    <x v="19"/>
    <x v="19"/>
    <x v="13"/>
    <x v="13"/>
    <x v="13"/>
    <x v="16"/>
    <x v="71"/>
    <x v="36"/>
    <x v="58"/>
    <x v="286"/>
    <x v="53"/>
    <x v="263"/>
    <x v="4"/>
  </r>
  <r>
    <x v="0"/>
    <x v="19"/>
    <x v="19"/>
    <x v="18"/>
    <x v="18"/>
    <x v="18"/>
    <x v="17"/>
    <x v="221"/>
    <x v="16"/>
    <x v="96"/>
    <x v="287"/>
    <x v="110"/>
    <x v="13"/>
    <x v="4"/>
  </r>
  <r>
    <x v="0"/>
    <x v="19"/>
    <x v="19"/>
    <x v="30"/>
    <x v="30"/>
    <x v="30"/>
    <x v="18"/>
    <x v="145"/>
    <x v="277"/>
    <x v="34"/>
    <x v="288"/>
    <x v="52"/>
    <x v="14"/>
    <x v="4"/>
  </r>
  <r>
    <x v="0"/>
    <x v="19"/>
    <x v="19"/>
    <x v="21"/>
    <x v="21"/>
    <x v="21"/>
    <x v="18"/>
    <x v="145"/>
    <x v="277"/>
    <x v="48"/>
    <x v="170"/>
    <x v="93"/>
    <x v="285"/>
    <x v="4"/>
  </r>
  <r>
    <x v="0"/>
    <x v="20"/>
    <x v="20"/>
    <x v="1"/>
    <x v="1"/>
    <x v="1"/>
    <x v="0"/>
    <x v="222"/>
    <x v="278"/>
    <x v="115"/>
    <x v="289"/>
    <x v="129"/>
    <x v="286"/>
    <x v="0"/>
  </r>
  <r>
    <x v="0"/>
    <x v="20"/>
    <x v="20"/>
    <x v="0"/>
    <x v="0"/>
    <x v="0"/>
    <x v="1"/>
    <x v="58"/>
    <x v="279"/>
    <x v="160"/>
    <x v="290"/>
    <x v="45"/>
    <x v="287"/>
    <x v="4"/>
  </r>
  <r>
    <x v="0"/>
    <x v="20"/>
    <x v="20"/>
    <x v="5"/>
    <x v="5"/>
    <x v="5"/>
    <x v="2"/>
    <x v="78"/>
    <x v="241"/>
    <x v="146"/>
    <x v="291"/>
    <x v="106"/>
    <x v="288"/>
    <x v="4"/>
  </r>
  <r>
    <x v="0"/>
    <x v="20"/>
    <x v="20"/>
    <x v="2"/>
    <x v="2"/>
    <x v="2"/>
    <x v="3"/>
    <x v="79"/>
    <x v="202"/>
    <x v="83"/>
    <x v="292"/>
    <x v="44"/>
    <x v="289"/>
    <x v="4"/>
  </r>
  <r>
    <x v="0"/>
    <x v="20"/>
    <x v="20"/>
    <x v="8"/>
    <x v="8"/>
    <x v="8"/>
    <x v="4"/>
    <x v="178"/>
    <x v="93"/>
    <x v="112"/>
    <x v="293"/>
    <x v="108"/>
    <x v="132"/>
    <x v="4"/>
  </r>
  <r>
    <x v="0"/>
    <x v="20"/>
    <x v="20"/>
    <x v="4"/>
    <x v="4"/>
    <x v="4"/>
    <x v="5"/>
    <x v="98"/>
    <x v="74"/>
    <x v="89"/>
    <x v="258"/>
    <x v="42"/>
    <x v="290"/>
    <x v="4"/>
  </r>
  <r>
    <x v="0"/>
    <x v="20"/>
    <x v="20"/>
    <x v="3"/>
    <x v="3"/>
    <x v="3"/>
    <x v="6"/>
    <x v="43"/>
    <x v="280"/>
    <x v="118"/>
    <x v="294"/>
    <x v="98"/>
    <x v="291"/>
    <x v="4"/>
  </r>
  <r>
    <x v="0"/>
    <x v="20"/>
    <x v="20"/>
    <x v="7"/>
    <x v="7"/>
    <x v="7"/>
    <x v="6"/>
    <x v="43"/>
    <x v="280"/>
    <x v="109"/>
    <x v="295"/>
    <x v="43"/>
    <x v="19"/>
    <x v="4"/>
  </r>
  <r>
    <x v="0"/>
    <x v="20"/>
    <x v="20"/>
    <x v="9"/>
    <x v="9"/>
    <x v="9"/>
    <x v="8"/>
    <x v="144"/>
    <x v="281"/>
    <x v="147"/>
    <x v="296"/>
    <x v="166"/>
    <x v="149"/>
    <x v="4"/>
  </r>
  <r>
    <x v="0"/>
    <x v="20"/>
    <x v="20"/>
    <x v="6"/>
    <x v="6"/>
    <x v="6"/>
    <x v="9"/>
    <x v="204"/>
    <x v="282"/>
    <x v="60"/>
    <x v="52"/>
    <x v="105"/>
    <x v="292"/>
    <x v="4"/>
  </r>
  <r>
    <x v="0"/>
    <x v="20"/>
    <x v="20"/>
    <x v="10"/>
    <x v="10"/>
    <x v="10"/>
    <x v="10"/>
    <x v="67"/>
    <x v="80"/>
    <x v="102"/>
    <x v="297"/>
    <x v="114"/>
    <x v="39"/>
    <x v="4"/>
  </r>
  <r>
    <x v="0"/>
    <x v="20"/>
    <x v="20"/>
    <x v="11"/>
    <x v="11"/>
    <x v="11"/>
    <x v="11"/>
    <x v="223"/>
    <x v="283"/>
    <x v="88"/>
    <x v="298"/>
    <x v="72"/>
    <x v="293"/>
    <x v="4"/>
  </r>
  <r>
    <x v="0"/>
    <x v="20"/>
    <x v="20"/>
    <x v="14"/>
    <x v="14"/>
    <x v="14"/>
    <x v="12"/>
    <x v="48"/>
    <x v="12"/>
    <x v="42"/>
    <x v="50"/>
    <x v="52"/>
    <x v="11"/>
    <x v="4"/>
  </r>
  <r>
    <x v="0"/>
    <x v="20"/>
    <x v="20"/>
    <x v="17"/>
    <x v="17"/>
    <x v="17"/>
    <x v="13"/>
    <x v="118"/>
    <x v="13"/>
    <x v="84"/>
    <x v="299"/>
    <x v="166"/>
    <x v="149"/>
    <x v="4"/>
  </r>
  <r>
    <x v="0"/>
    <x v="20"/>
    <x v="20"/>
    <x v="13"/>
    <x v="13"/>
    <x v="13"/>
    <x v="14"/>
    <x v="221"/>
    <x v="51"/>
    <x v="157"/>
    <x v="300"/>
    <x v="53"/>
    <x v="101"/>
    <x v="4"/>
  </r>
  <r>
    <x v="0"/>
    <x v="20"/>
    <x v="20"/>
    <x v="20"/>
    <x v="20"/>
    <x v="20"/>
    <x v="14"/>
    <x v="221"/>
    <x v="51"/>
    <x v="33"/>
    <x v="53"/>
    <x v="89"/>
    <x v="294"/>
    <x v="4"/>
  </r>
  <r>
    <x v="0"/>
    <x v="20"/>
    <x v="20"/>
    <x v="18"/>
    <x v="18"/>
    <x v="18"/>
    <x v="16"/>
    <x v="50"/>
    <x v="85"/>
    <x v="68"/>
    <x v="301"/>
    <x v="108"/>
    <x v="132"/>
    <x v="4"/>
  </r>
  <r>
    <x v="0"/>
    <x v="20"/>
    <x v="20"/>
    <x v="15"/>
    <x v="15"/>
    <x v="15"/>
    <x v="16"/>
    <x v="50"/>
    <x v="85"/>
    <x v="48"/>
    <x v="51"/>
    <x v="52"/>
    <x v="11"/>
    <x v="4"/>
  </r>
  <r>
    <x v="0"/>
    <x v="20"/>
    <x v="20"/>
    <x v="16"/>
    <x v="16"/>
    <x v="16"/>
    <x v="18"/>
    <x v="113"/>
    <x v="284"/>
    <x v="68"/>
    <x v="301"/>
    <x v="55"/>
    <x v="53"/>
    <x v="4"/>
  </r>
  <r>
    <x v="0"/>
    <x v="20"/>
    <x v="20"/>
    <x v="12"/>
    <x v="12"/>
    <x v="12"/>
    <x v="19"/>
    <x v="55"/>
    <x v="285"/>
    <x v="49"/>
    <x v="302"/>
    <x v="62"/>
    <x v="120"/>
    <x v="4"/>
  </r>
  <r>
    <x v="0"/>
    <x v="21"/>
    <x v="21"/>
    <x v="1"/>
    <x v="1"/>
    <x v="1"/>
    <x v="0"/>
    <x v="224"/>
    <x v="286"/>
    <x v="161"/>
    <x v="303"/>
    <x v="100"/>
    <x v="141"/>
    <x v="4"/>
  </r>
  <r>
    <x v="0"/>
    <x v="21"/>
    <x v="21"/>
    <x v="0"/>
    <x v="0"/>
    <x v="0"/>
    <x v="1"/>
    <x v="195"/>
    <x v="287"/>
    <x v="92"/>
    <x v="304"/>
    <x v="66"/>
    <x v="227"/>
    <x v="4"/>
  </r>
  <r>
    <x v="0"/>
    <x v="21"/>
    <x v="21"/>
    <x v="5"/>
    <x v="5"/>
    <x v="5"/>
    <x v="2"/>
    <x v="135"/>
    <x v="288"/>
    <x v="78"/>
    <x v="169"/>
    <x v="60"/>
    <x v="126"/>
    <x v="4"/>
  </r>
  <r>
    <x v="0"/>
    <x v="21"/>
    <x v="21"/>
    <x v="4"/>
    <x v="4"/>
    <x v="4"/>
    <x v="3"/>
    <x v="225"/>
    <x v="289"/>
    <x v="162"/>
    <x v="305"/>
    <x v="85"/>
    <x v="295"/>
    <x v="4"/>
  </r>
  <r>
    <x v="0"/>
    <x v="21"/>
    <x v="21"/>
    <x v="3"/>
    <x v="3"/>
    <x v="3"/>
    <x v="4"/>
    <x v="62"/>
    <x v="290"/>
    <x v="70"/>
    <x v="125"/>
    <x v="147"/>
    <x v="296"/>
    <x v="4"/>
  </r>
  <r>
    <x v="0"/>
    <x v="21"/>
    <x v="21"/>
    <x v="2"/>
    <x v="2"/>
    <x v="2"/>
    <x v="5"/>
    <x v="178"/>
    <x v="141"/>
    <x v="105"/>
    <x v="306"/>
    <x v="118"/>
    <x v="297"/>
    <x v="4"/>
  </r>
  <r>
    <x v="0"/>
    <x v="21"/>
    <x v="21"/>
    <x v="9"/>
    <x v="9"/>
    <x v="9"/>
    <x v="6"/>
    <x v="64"/>
    <x v="291"/>
    <x v="139"/>
    <x v="307"/>
    <x v="54"/>
    <x v="298"/>
    <x v="4"/>
  </r>
  <r>
    <x v="0"/>
    <x v="21"/>
    <x v="21"/>
    <x v="8"/>
    <x v="8"/>
    <x v="8"/>
    <x v="7"/>
    <x v="43"/>
    <x v="76"/>
    <x v="163"/>
    <x v="308"/>
    <x v="101"/>
    <x v="68"/>
    <x v="4"/>
  </r>
  <r>
    <x v="0"/>
    <x v="21"/>
    <x v="21"/>
    <x v="7"/>
    <x v="7"/>
    <x v="7"/>
    <x v="7"/>
    <x v="43"/>
    <x v="76"/>
    <x v="90"/>
    <x v="309"/>
    <x v="43"/>
    <x v="263"/>
    <x v="4"/>
  </r>
  <r>
    <x v="0"/>
    <x v="21"/>
    <x v="21"/>
    <x v="6"/>
    <x v="6"/>
    <x v="6"/>
    <x v="9"/>
    <x v="203"/>
    <x v="292"/>
    <x v="37"/>
    <x v="57"/>
    <x v="144"/>
    <x v="299"/>
    <x v="4"/>
  </r>
  <r>
    <x v="0"/>
    <x v="21"/>
    <x v="21"/>
    <x v="11"/>
    <x v="11"/>
    <x v="11"/>
    <x v="10"/>
    <x v="65"/>
    <x v="46"/>
    <x v="128"/>
    <x v="310"/>
    <x v="100"/>
    <x v="141"/>
    <x v="4"/>
  </r>
  <r>
    <x v="0"/>
    <x v="21"/>
    <x v="21"/>
    <x v="10"/>
    <x v="10"/>
    <x v="10"/>
    <x v="11"/>
    <x v="110"/>
    <x v="64"/>
    <x v="104"/>
    <x v="311"/>
    <x v="93"/>
    <x v="177"/>
    <x v="4"/>
  </r>
  <r>
    <x v="0"/>
    <x v="21"/>
    <x v="21"/>
    <x v="13"/>
    <x v="13"/>
    <x v="13"/>
    <x v="12"/>
    <x v="69"/>
    <x v="31"/>
    <x v="45"/>
    <x v="6"/>
    <x v="45"/>
    <x v="300"/>
    <x v="4"/>
  </r>
  <r>
    <x v="0"/>
    <x v="21"/>
    <x v="21"/>
    <x v="14"/>
    <x v="14"/>
    <x v="14"/>
    <x v="13"/>
    <x v="101"/>
    <x v="293"/>
    <x v="38"/>
    <x v="312"/>
    <x v="129"/>
    <x v="301"/>
    <x v="4"/>
  </r>
  <r>
    <x v="0"/>
    <x v="21"/>
    <x v="21"/>
    <x v="17"/>
    <x v="17"/>
    <x v="17"/>
    <x v="14"/>
    <x v="48"/>
    <x v="172"/>
    <x v="65"/>
    <x v="313"/>
    <x v="51"/>
    <x v="302"/>
    <x v="4"/>
  </r>
  <r>
    <x v="0"/>
    <x v="21"/>
    <x v="21"/>
    <x v="16"/>
    <x v="16"/>
    <x v="16"/>
    <x v="15"/>
    <x v="72"/>
    <x v="15"/>
    <x v="96"/>
    <x v="314"/>
    <x v="73"/>
    <x v="130"/>
    <x v="4"/>
  </r>
  <r>
    <x v="0"/>
    <x v="21"/>
    <x v="21"/>
    <x v="20"/>
    <x v="20"/>
    <x v="20"/>
    <x v="16"/>
    <x v="103"/>
    <x v="123"/>
    <x v="47"/>
    <x v="47"/>
    <x v="97"/>
    <x v="67"/>
    <x v="4"/>
  </r>
  <r>
    <x v="0"/>
    <x v="21"/>
    <x v="21"/>
    <x v="15"/>
    <x v="15"/>
    <x v="15"/>
    <x v="17"/>
    <x v="52"/>
    <x v="18"/>
    <x v="59"/>
    <x v="78"/>
    <x v="110"/>
    <x v="132"/>
    <x v="4"/>
  </r>
  <r>
    <x v="0"/>
    <x v="21"/>
    <x v="21"/>
    <x v="18"/>
    <x v="18"/>
    <x v="18"/>
    <x v="18"/>
    <x v="112"/>
    <x v="252"/>
    <x v="50"/>
    <x v="147"/>
    <x v="43"/>
    <x v="263"/>
    <x v="4"/>
  </r>
  <r>
    <x v="0"/>
    <x v="21"/>
    <x v="21"/>
    <x v="19"/>
    <x v="19"/>
    <x v="19"/>
    <x v="18"/>
    <x v="112"/>
    <x v="252"/>
    <x v="41"/>
    <x v="315"/>
    <x v="52"/>
    <x v="114"/>
    <x v="4"/>
  </r>
  <r>
    <x v="0"/>
    <x v="22"/>
    <x v="22"/>
    <x v="0"/>
    <x v="0"/>
    <x v="0"/>
    <x v="0"/>
    <x v="226"/>
    <x v="294"/>
    <x v="164"/>
    <x v="316"/>
    <x v="60"/>
    <x v="303"/>
    <x v="4"/>
  </r>
  <r>
    <x v="0"/>
    <x v="22"/>
    <x v="22"/>
    <x v="1"/>
    <x v="1"/>
    <x v="1"/>
    <x v="1"/>
    <x v="227"/>
    <x v="295"/>
    <x v="165"/>
    <x v="317"/>
    <x v="90"/>
    <x v="180"/>
    <x v="4"/>
  </r>
  <r>
    <x v="0"/>
    <x v="22"/>
    <x v="22"/>
    <x v="2"/>
    <x v="2"/>
    <x v="2"/>
    <x v="2"/>
    <x v="228"/>
    <x v="296"/>
    <x v="71"/>
    <x v="318"/>
    <x v="180"/>
    <x v="304"/>
    <x v="4"/>
  </r>
  <r>
    <x v="0"/>
    <x v="22"/>
    <x v="22"/>
    <x v="5"/>
    <x v="5"/>
    <x v="5"/>
    <x v="3"/>
    <x v="76"/>
    <x v="3"/>
    <x v="166"/>
    <x v="319"/>
    <x v="165"/>
    <x v="305"/>
    <x v="4"/>
  </r>
  <r>
    <x v="0"/>
    <x v="22"/>
    <x v="22"/>
    <x v="4"/>
    <x v="4"/>
    <x v="4"/>
    <x v="4"/>
    <x v="229"/>
    <x v="58"/>
    <x v="85"/>
    <x v="86"/>
    <x v="181"/>
    <x v="306"/>
    <x v="4"/>
  </r>
  <r>
    <x v="0"/>
    <x v="22"/>
    <x v="22"/>
    <x v="7"/>
    <x v="7"/>
    <x v="7"/>
    <x v="5"/>
    <x v="230"/>
    <x v="297"/>
    <x v="167"/>
    <x v="320"/>
    <x v="132"/>
    <x v="162"/>
    <x v="4"/>
  </r>
  <r>
    <x v="0"/>
    <x v="22"/>
    <x v="22"/>
    <x v="3"/>
    <x v="3"/>
    <x v="3"/>
    <x v="6"/>
    <x v="59"/>
    <x v="298"/>
    <x v="117"/>
    <x v="310"/>
    <x v="111"/>
    <x v="307"/>
    <x v="4"/>
  </r>
  <r>
    <x v="0"/>
    <x v="22"/>
    <x v="22"/>
    <x v="9"/>
    <x v="9"/>
    <x v="9"/>
    <x v="7"/>
    <x v="176"/>
    <x v="275"/>
    <x v="94"/>
    <x v="321"/>
    <x v="74"/>
    <x v="308"/>
    <x v="4"/>
  </r>
  <r>
    <x v="0"/>
    <x v="22"/>
    <x v="22"/>
    <x v="8"/>
    <x v="8"/>
    <x v="8"/>
    <x v="8"/>
    <x v="231"/>
    <x v="79"/>
    <x v="131"/>
    <x v="194"/>
    <x v="89"/>
    <x v="309"/>
    <x v="4"/>
  </r>
  <r>
    <x v="0"/>
    <x v="22"/>
    <x v="22"/>
    <x v="11"/>
    <x v="11"/>
    <x v="11"/>
    <x v="9"/>
    <x v="134"/>
    <x v="299"/>
    <x v="83"/>
    <x v="322"/>
    <x v="79"/>
    <x v="141"/>
    <x v="4"/>
  </r>
  <r>
    <x v="0"/>
    <x v="22"/>
    <x v="22"/>
    <x v="10"/>
    <x v="10"/>
    <x v="10"/>
    <x v="10"/>
    <x v="151"/>
    <x v="300"/>
    <x v="56"/>
    <x v="323"/>
    <x v="68"/>
    <x v="103"/>
    <x v="4"/>
  </r>
  <r>
    <x v="0"/>
    <x v="22"/>
    <x v="22"/>
    <x v="6"/>
    <x v="6"/>
    <x v="6"/>
    <x v="11"/>
    <x v="232"/>
    <x v="283"/>
    <x v="31"/>
    <x v="288"/>
    <x v="82"/>
    <x v="240"/>
    <x v="4"/>
  </r>
  <r>
    <x v="0"/>
    <x v="22"/>
    <x v="22"/>
    <x v="16"/>
    <x v="16"/>
    <x v="16"/>
    <x v="12"/>
    <x v="117"/>
    <x v="293"/>
    <x v="149"/>
    <x v="324"/>
    <x v="65"/>
    <x v="310"/>
    <x v="4"/>
  </r>
  <r>
    <x v="0"/>
    <x v="22"/>
    <x v="22"/>
    <x v="14"/>
    <x v="14"/>
    <x v="14"/>
    <x v="13"/>
    <x v="98"/>
    <x v="301"/>
    <x v="76"/>
    <x v="17"/>
    <x v="105"/>
    <x v="51"/>
    <x v="4"/>
  </r>
  <r>
    <x v="0"/>
    <x v="22"/>
    <x v="22"/>
    <x v="13"/>
    <x v="13"/>
    <x v="13"/>
    <x v="13"/>
    <x v="98"/>
    <x v="301"/>
    <x v="84"/>
    <x v="325"/>
    <x v="99"/>
    <x v="311"/>
    <x v="4"/>
  </r>
  <r>
    <x v="0"/>
    <x v="22"/>
    <x v="22"/>
    <x v="17"/>
    <x v="17"/>
    <x v="17"/>
    <x v="15"/>
    <x v="108"/>
    <x v="53"/>
    <x v="107"/>
    <x v="326"/>
    <x v="72"/>
    <x v="312"/>
    <x v="4"/>
  </r>
  <r>
    <x v="0"/>
    <x v="22"/>
    <x v="22"/>
    <x v="15"/>
    <x v="15"/>
    <x v="15"/>
    <x v="16"/>
    <x v="203"/>
    <x v="302"/>
    <x v="33"/>
    <x v="327"/>
    <x v="81"/>
    <x v="271"/>
    <x v="4"/>
  </r>
  <r>
    <x v="0"/>
    <x v="22"/>
    <x v="22"/>
    <x v="21"/>
    <x v="21"/>
    <x v="21"/>
    <x v="17"/>
    <x v="138"/>
    <x v="19"/>
    <x v="50"/>
    <x v="19"/>
    <x v="69"/>
    <x v="203"/>
    <x v="0"/>
  </r>
  <r>
    <x v="0"/>
    <x v="22"/>
    <x v="22"/>
    <x v="12"/>
    <x v="12"/>
    <x v="12"/>
    <x v="18"/>
    <x v="110"/>
    <x v="225"/>
    <x v="58"/>
    <x v="328"/>
    <x v="98"/>
    <x v="99"/>
    <x v="4"/>
  </r>
  <r>
    <x v="0"/>
    <x v="22"/>
    <x v="22"/>
    <x v="18"/>
    <x v="18"/>
    <x v="18"/>
    <x v="19"/>
    <x v="68"/>
    <x v="252"/>
    <x v="48"/>
    <x v="117"/>
    <x v="176"/>
    <x v="8"/>
    <x v="4"/>
  </r>
  <r>
    <x v="0"/>
    <x v="22"/>
    <x v="22"/>
    <x v="19"/>
    <x v="19"/>
    <x v="19"/>
    <x v="19"/>
    <x v="68"/>
    <x v="252"/>
    <x v="68"/>
    <x v="15"/>
    <x v="71"/>
    <x v="313"/>
    <x v="4"/>
  </r>
  <r>
    <x v="0"/>
    <x v="23"/>
    <x v="23"/>
    <x v="0"/>
    <x v="0"/>
    <x v="0"/>
    <x v="0"/>
    <x v="233"/>
    <x v="303"/>
    <x v="168"/>
    <x v="329"/>
    <x v="105"/>
    <x v="314"/>
    <x v="4"/>
  </r>
  <r>
    <x v="0"/>
    <x v="23"/>
    <x v="23"/>
    <x v="1"/>
    <x v="1"/>
    <x v="1"/>
    <x v="1"/>
    <x v="234"/>
    <x v="304"/>
    <x v="169"/>
    <x v="330"/>
    <x v="58"/>
    <x v="59"/>
    <x v="4"/>
  </r>
  <r>
    <x v="0"/>
    <x v="23"/>
    <x v="23"/>
    <x v="2"/>
    <x v="2"/>
    <x v="2"/>
    <x v="2"/>
    <x v="235"/>
    <x v="305"/>
    <x v="170"/>
    <x v="331"/>
    <x v="182"/>
    <x v="315"/>
    <x v="3"/>
  </r>
  <r>
    <x v="0"/>
    <x v="23"/>
    <x v="23"/>
    <x v="4"/>
    <x v="4"/>
    <x v="4"/>
    <x v="3"/>
    <x v="236"/>
    <x v="91"/>
    <x v="43"/>
    <x v="86"/>
    <x v="59"/>
    <x v="316"/>
    <x v="4"/>
  </r>
  <r>
    <x v="0"/>
    <x v="23"/>
    <x v="23"/>
    <x v="8"/>
    <x v="8"/>
    <x v="8"/>
    <x v="4"/>
    <x v="139"/>
    <x v="306"/>
    <x v="171"/>
    <x v="332"/>
    <x v="132"/>
    <x v="317"/>
    <x v="4"/>
  </r>
  <r>
    <x v="0"/>
    <x v="23"/>
    <x v="23"/>
    <x v="5"/>
    <x v="5"/>
    <x v="5"/>
    <x v="5"/>
    <x v="60"/>
    <x v="307"/>
    <x v="74"/>
    <x v="172"/>
    <x v="86"/>
    <x v="318"/>
    <x v="4"/>
  </r>
  <r>
    <x v="0"/>
    <x v="23"/>
    <x v="23"/>
    <x v="3"/>
    <x v="3"/>
    <x v="3"/>
    <x v="6"/>
    <x v="237"/>
    <x v="308"/>
    <x v="70"/>
    <x v="305"/>
    <x v="77"/>
    <x v="319"/>
    <x v="4"/>
  </r>
  <r>
    <x v="0"/>
    <x v="23"/>
    <x v="23"/>
    <x v="6"/>
    <x v="6"/>
    <x v="6"/>
    <x v="7"/>
    <x v="152"/>
    <x v="75"/>
    <x v="31"/>
    <x v="158"/>
    <x v="183"/>
    <x v="186"/>
    <x v="4"/>
  </r>
  <r>
    <x v="0"/>
    <x v="23"/>
    <x v="23"/>
    <x v="9"/>
    <x v="9"/>
    <x v="9"/>
    <x v="8"/>
    <x v="238"/>
    <x v="218"/>
    <x v="172"/>
    <x v="333"/>
    <x v="51"/>
    <x v="320"/>
    <x v="0"/>
  </r>
  <r>
    <x v="0"/>
    <x v="23"/>
    <x v="23"/>
    <x v="7"/>
    <x v="7"/>
    <x v="7"/>
    <x v="9"/>
    <x v="136"/>
    <x v="144"/>
    <x v="56"/>
    <x v="334"/>
    <x v="74"/>
    <x v="321"/>
    <x v="0"/>
  </r>
  <r>
    <x v="0"/>
    <x v="23"/>
    <x v="23"/>
    <x v="10"/>
    <x v="10"/>
    <x v="10"/>
    <x v="10"/>
    <x v="143"/>
    <x v="309"/>
    <x v="74"/>
    <x v="172"/>
    <x v="110"/>
    <x v="222"/>
    <x v="0"/>
  </r>
  <r>
    <x v="0"/>
    <x v="23"/>
    <x v="23"/>
    <x v="11"/>
    <x v="11"/>
    <x v="11"/>
    <x v="11"/>
    <x v="107"/>
    <x v="310"/>
    <x v="104"/>
    <x v="233"/>
    <x v="91"/>
    <x v="322"/>
    <x v="4"/>
  </r>
  <r>
    <x v="0"/>
    <x v="23"/>
    <x v="23"/>
    <x v="13"/>
    <x v="13"/>
    <x v="13"/>
    <x v="12"/>
    <x v="204"/>
    <x v="311"/>
    <x v="72"/>
    <x v="188"/>
    <x v="61"/>
    <x v="323"/>
    <x v="4"/>
  </r>
  <r>
    <x v="0"/>
    <x v="23"/>
    <x v="23"/>
    <x v="14"/>
    <x v="14"/>
    <x v="14"/>
    <x v="13"/>
    <x v="239"/>
    <x v="33"/>
    <x v="65"/>
    <x v="91"/>
    <x v="73"/>
    <x v="324"/>
    <x v="4"/>
  </r>
  <r>
    <x v="0"/>
    <x v="23"/>
    <x v="23"/>
    <x v="16"/>
    <x v="16"/>
    <x v="16"/>
    <x v="14"/>
    <x v="90"/>
    <x v="149"/>
    <x v="42"/>
    <x v="335"/>
    <x v="93"/>
    <x v="233"/>
    <x v="0"/>
  </r>
  <r>
    <x v="0"/>
    <x v="23"/>
    <x v="23"/>
    <x v="20"/>
    <x v="20"/>
    <x v="20"/>
    <x v="15"/>
    <x v="118"/>
    <x v="124"/>
    <x v="47"/>
    <x v="47"/>
    <x v="65"/>
    <x v="325"/>
    <x v="4"/>
  </r>
  <r>
    <x v="0"/>
    <x v="23"/>
    <x v="23"/>
    <x v="17"/>
    <x v="17"/>
    <x v="17"/>
    <x v="16"/>
    <x v="102"/>
    <x v="69"/>
    <x v="42"/>
    <x v="335"/>
    <x v="74"/>
    <x v="321"/>
    <x v="4"/>
  </r>
  <r>
    <x v="0"/>
    <x v="23"/>
    <x v="23"/>
    <x v="18"/>
    <x v="18"/>
    <x v="18"/>
    <x v="17"/>
    <x v="73"/>
    <x v="312"/>
    <x v="48"/>
    <x v="328"/>
    <x v="73"/>
    <x v="324"/>
    <x v="4"/>
  </r>
  <r>
    <x v="0"/>
    <x v="23"/>
    <x v="23"/>
    <x v="15"/>
    <x v="15"/>
    <x v="15"/>
    <x v="17"/>
    <x v="73"/>
    <x v="312"/>
    <x v="33"/>
    <x v="67"/>
    <x v="101"/>
    <x v="191"/>
    <x v="4"/>
  </r>
  <r>
    <x v="0"/>
    <x v="23"/>
    <x v="23"/>
    <x v="19"/>
    <x v="19"/>
    <x v="19"/>
    <x v="19"/>
    <x v="51"/>
    <x v="313"/>
    <x v="51"/>
    <x v="336"/>
    <x v="104"/>
    <x v="326"/>
    <x v="4"/>
  </r>
  <r>
    <x v="0"/>
    <x v="24"/>
    <x v="24"/>
    <x v="0"/>
    <x v="0"/>
    <x v="0"/>
    <x v="0"/>
    <x v="61"/>
    <x v="314"/>
    <x v="173"/>
    <x v="337"/>
    <x v="54"/>
    <x v="327"/>
    <x v="4"/>
  </r>
  <r>
    <x v="0"/>
    <x v="24"/>
    <x v="24"/>
    <x v="1"/>
    <x v="1"/>
    <x v="1"/>
    <x v="1"/>
    <x v="130"/>
    <x v="315"/>
    <x v="171"/>
    <x v="338"/>
    <x v="112"/>
    <x v="177"/>
    <x v="4"/>
  </r>
  <r>
    <x v="0"/>
    <x v="24"/>
    <x v="24"/>
    <x v="5"/>
    <x v="5"/>
    <x v="5"/>
    <x v="2"/>
    <x v="218"/>
    <x v="316"/>
    <x v="35"/>
    <x v="162"/>
    <x v="91"/>
    <x v="328"/>
    <x v="4"/>
  </r>
  <r>
    <x v="0"/>
    <x v="24"/>
    <x v="24"/>
    <x v="4"/>
    <x v="4"/>
    <x v="4"/>
    <x v="3"/>
    <x v="240"/>
    <x v="317"/>
    <x v="155"/>
    <x v="339"/>
    <x v="66"/>
    <x v="137"/>
    <x v="4"/>
  </r>
  <r>
    <x v="0"/>
    <x v="24"/>
    <x v="24"/>
    <x v="2"/>
    <x v="2"/>
    <x v="2"/>
    <x v="4"/>
    <x v="65"/>
    <x v="318"/>
    <x v="84"/>
    <x v="340"/>
    <x v="90"/>
    <x v="329"/>
    <x v="4"/>
  </r>
  <r>
    <x v="0"/>
    <x v="24"/>
    <x v="24"/>
    <x v="30"/>
    <x v="30"/>
    <x v="30"/>
    <x v="5"/>
    <x v="201"/>
    <x v="140"/>
    <x v="89"/>
    <x v="341"/>
    <x v="58"/>
    <x v="23"/>
    <x v="4"/>
  </r>
  <r>
    <x v="0"/>
    <x v="24"/>
    <x v="24"/>
    <x v="3"/>
    <x v="3"/>
    <x v="3"/>
    <x v="6"/>
    <x v="109"/>
    <x v="319"/>
    <x v="128"/>
    <x v="342"/>
    <x v="45"/>
    <x v="330"/>
    <x v="4"/>
  </r>
  <r>
    <x v="0"/>
    <x v="24"/>
    <x v="24"/>
    <x v="11"/>
    <x v="11"/>
    <x v="11"/>
    <x v="7"/>
    <x v="45"/>
    <x v="280"/>
    <x v="84"/>
    <x v="340"/>
    <x v="72"/>
    <x v="331"/>
    <x v="4"/>
  </r>
  <r>
    <x v="0"/>
    <x v="24"/>
    <x v="24"/>
    <x v="14"/>
    <x v="14"/>
    <x v="14"/>
    <x v="8"/>
    <x v="47"/>
    <x v="248"/>
    <x v="96"/>
    <x v="16"/>
    <x v="66"/>
    <x v="137"/>
    <x v="4"/>
  </r>
  <r>
    <x v="0"/>
    <x v="24"/>
    <x v="24"/>
    <x v="8"/>
    <x v="8"/>
    <x v="8"/>
    <x v="9"/>
    <x v="241"/>
    <x v="320"/>
    <x v="80"/>
    <x v="343"/>
    <x v="47"/>
    <x v="332"/>
    <x v="4"/>
  </r>
  <r>
    <x v="0"/>
    <x v="24"/>
    <x v="24"/>
    <x v="7"/>
    <x v="7"/>
    <x v="7"/>
    <x v="10"/>
    <x v="103"/>
    <x v="119"/>
    <x v="46"/>
    <x v="344"/>
    <x v="177"/>
    <x v="239"/>
    <x v="4"/>
  </r>
  <r>
    <x v="0"/>
    <x v="24"/>
    <x v="24"/>
    <x v="9"/>
    <x v="9"/>
    <x v="9"/>
    <x v="11"/>
    <x v="145"/>
    <x v="321"/>
    <x v="105"/>
    <x v="345"/>
    <x v="184"/>
    <x v="333"/>
    <x v="4"/>
  </r>
  <r>
    <x v="0"/>
    <x v="24"/>
    <x v="24"/>
    <x v="6"/>
    <x v="6"/>
    <x v="6"/>
    <x v="12"/>
    <x v="52"/>
    <x v="187"/>
    <x v="49"/>
    <x v="346"/>
    <x v="52"/>
    <x v="254"/>
    <x v="4"/>
  </r>
  <r>
    <x v="0"/>
    <x v="24"/>
    <x v="24"/>
    <x v="12"/>
    <x v="12"/>
    <x v="12"/>
    <x v="13"/>
    <x v="111"/>
    <x v="322"/>
    <x v="68"/>
    <x v="347"/>
    <x v="43"/>
    <x v="175"/>
    <x v="4"/>
  </r>
  <r>
    <x v="0"/>
    <x v="24"/>
    <x v="24"/>
    <x v="19"/>
    <x v="19"/>
    <x v="19"/>
    <x v="14"/>
    <x v="113"/>
    <x v="173"/>
    <x v="59"/>
    <x v="31"/>
    <x v="108"/>
    <x v="74"/>
    <x v="4"/>
  </r>
  <r>
    <x v="0"/>
    <x v="24"/>
    <x v="24"/>
    <x v="10"/>
    <x v="10"/>
    <x v="10"/>
    <x v="15"/>
    <x v="120"/>
    <x v="211"/>
    <x v="38"/>
    <x v="348"/>
    <x v="128"/>
    <x v="334"/>
    <x v="4"/>
  </r>
  <r>
    <x v="0"/>
    <x v="24"/>
    <x v="24"/>
    <x v="20"/>
    <x v="20"/>
    <x v="20"/>
    <x v="15"/>
    <x v="120"/>
    <x v="211"/>
    <x v="47"/>
    <x v="47"/>
    <x v="114"/>
    <x v="335"/>
    <x v="4"/>
  </r>
  <r>
    <x v="0"/>
    <x v="24"/>
    <x v="24"/>
    <x v="16"/>
    <x v="16"/>
    <x v="16"/>
    <x v="17"/>
    <x v="54"/>
    <x v="111"/>
    <x v="37"/>
    <x v="349"/>
    <x v="177"/>
    <x v="239"/>
    <x v="4"/>
  </r>
  <r>
    <x v="0"/>
    <x v="24"/>
    <x v="24"/>
    <x v="18"/>
    <x v="18"/>
    <x v="18"/>
    <x v="18"/>
    <x v="56"/>
    <x v="188"/>
    <x v="59"/>
    <x v="31"/>
    <x v="51"/>
    <x v="119"/>
    <x v="4"/>
  </r>
  <r>
    <x v="0"/>
    <x v="24"/>
    <x v="24"/>
    <x v="13"/>
    <x v="13"/>
    <x v="13"/>
    <x v="18"/>
    <x v="56"/>
    <x v="188"/>
    <x v="100"/>
    <x v="170"/>
    <x v="46"/>
    <x v="180"/>
    <x v="4"/>
  </r>
  <r>
    <x v="0"/>
    <x v="24"/>
    <x v="24"/>
    <x v="17"/>
    <x v="17"/>
    <x v="17"/>
    <x v="18"/>
    <x v="56"/>
    <x v="188"/>
    <x v="34"/>
    <x v="350"/>
    <x v="179"/>
    <x v="172"/>
    <x v="4"/>
  </r>
  <r>
    <x v="0"/>
    <x v="25"/>
    <x v="25"/>
    <x v="0"/>
    <x v="0"/>
    <x v="0"/>
    <x v="0"/>
    <x v="229"/>
    <x v="323"/>
    <x v="174"/>
    <x v="351"/>
    <x v="58"/>
    <x v="287"/>
    <x v="4"/>
  </r>
  <r>
    <x v="0"/>
    <x v="25"/>
    <x v="25"/>
    <x v="2"/>
    <x v="2"/>
    <x v="2"/>
    <x v="1"/>
    <x v="242"/>
    <x v="324"/>
    <x v="56"/>
    <x v="352"/>
    <x v="42"/>
    <x v="336"/>
    <x v="4"/>
  </r>
  <r>
    <x v="0"/>
    <x v="25"/>
    <x v="25"/>
    <x v="1"/>
    <x v="1"/>
    <x v="1"/>
    <x v="2"/>
    <x v="243"/>
    <x v="325"/>
    <x v="106"/>
    <x v="353"/>
    <x v="114"/>
    <x v="215"/>
    <x v="4"/>
  </r>
  <r>
    <x v="0"/>
    <x v="25"/>
    <x v="25"/>
    <x v="4"/>
    <x v="4"/>
    <x v="4"/>
    <x v="3"/>
    <x v="80"/>
    <x v="326"/>
    <x v="128"/>
    <x v="354"/>
    <x v="125"/>
    <x v="245"/>
    <x v="4"/>
  </r>
  <r>
    <x v="0"/>
    <x v="25"/>
    <x v="25"/>
    <x v="5"/>
    <x v="5"/>
    <x v="5"/>
    <x v="4"/>
    <x v="60"/>
    <x v="289"/>
    <x v="83"/>
    <x v="355"/>
    <x v="118"/>
    <x v="337"/>
    <x v="4"/>
  </r>
  <r>
    <x v="0"/>
    <x v="25"/>
    <x v="25"/>
    <x v="3"/>
    <x v="3"/>
    <x v="3"/>
    <x v="5"/>
    <x v="178"/>
    <x v="327"/>
    <x v="118"/>
    <x v="356"/>
    <x v="175"/>
    <x v="338"/>
    <x v="4"/>
  </r>
  <r>
    <x v="0"/>
    <x v="25"/>
    <x v="25"/>
    <x v="8"/>
    <x v="8"/>
    <x v="8"/>
    <x v="6"/>
    <x v="64"/>
    <x v="328"/>
    <x v="108"/>
    <x v="357"/>
    <x v="110"/>
    <x v="1"/>
    <x v="4"/>
  </r>
  <r>
    <x v="0"/>
    <x v="25"/>
    <x v="25"/>
    <x v="7"/>
    <x v="7"/>
    <x v="7"/>
    <x v="7"/>
    <x v="179"/>
    <x v="329"/>
    <x v="108"/>
    <x v="357"/>
    <x v="43"/>
    <x v="232"/>
    <x v="4"/>
  </r>
  <r>
    <x v="0"/>
    <x v="25"/>
    <x v="25"/>
    <x v="9"/>
    <x v="9"/>
    <x v="9"/>
    <x v="8"/>
    <x v="86"/>
    <x v="330"/>
    <x v="83"/>
    <x v="355"/>
    <x v="62"/>
    <x v="339"/>
    <x v="4"/>
  </r>
  <r>
    <x v="0"/>
    <x v="25"/>
    <x v="25"/>
    <x v="6"/>
    <x v="6"/>
    <x v="6"/>
    <x v="9"/>
    <x v="67"/>
    <x v="331"/>
    <x v="45"/>
    <x v="358"/>
    <x v="71"/>
    <x v="340"/>
    <x v="4"/>
  </r>
  <r>
    <x v="0"/>
    <x v="25"/>
    <x v="25"/>
    <x v="11"/>
    <x v="11"/>
    <x v="11"/>
    <x v="10"/>
    <x v="138"/>
    <x v="157"/>
    <x v="43"/>
    <x v="359"/>
    <x v="110"/>
    <x v="1"/>
    <x v="4"/>
  </r>
  <r>
    <x v="0"/>
    <x v="25"/>
    <x v="25"/>
    <x v="16"/>
    <x v="16"/>
    <x v="16"/>
    <x v="11"/>
    <x v="239"/>
    <x v="332"/>
    <x v="89"/>
    <x v="171"/>
    <x v="110"/>
    <x v="1"/>
    <x v="4"/>
  </r>
  <r>
    <x v="0"/>
    <x v="25"/>
    <x v="25"/>
    <x v="20"/>
    <x v="20"/>
    <x v="20"/>
    <x v="11"/>
    <x v="239"/>
    <x v="332"/>
    <x v="47"/>
    <x v="47"/>
    <x v="91"/>
    <x v="138"/>
    <x v="4"/>
  </r>
  <r>
    <x v="0"/>
    <x v="25"/>
    <x v="25"/>
    <x v="10"/>
    <x v="10"/>
    <x v="10"/>
    <x v="13"/>
    <x v="69"/>
    <x v="82"/>
    <x v="104"/>
    <x v="360"/>
    <x v="51"/>
    <x v="341"/>
    <x v="4"/>
  </r>
  <r>
    <x v="0"/>
    <x v="25"/>
    <x v="25"/>
    <x v="13"/>
    <x v="13"/>
    <x v="13"/>
    <x v="14"/>
    <x v="101"/>
    <x v="333"/>
    <x v="67"/>
    <x v="274"/>
    <x v="89"/>
    <x v="342"/>
    <x v="4"/>
  </r>
  <r>
    <x v="0"/>
    <x v="25"/>
    <x v="25"/>
    <x v="14"/>
    <x v="14"/>
    <x v="14"/>
    <x v="15"/>
    <x v="48"/>
    <x v="334"/>
    <x v="45"/>
    <x v="358"/>
    <x v="48"/>
    <x v="219"/>
    <x v="4"/>
  </r>
  <r>
    <x v="0"/>
    <x v="25"/>
    <x v="25"/>
    <x v="17"/>
    <x v="17"/>
    <x v="17"/>
    <x v="16"/>
    <x v="118"/>
    <x v="162"/>
    <x v="42"/>
    <x v="361"/>
    <x v="43"/>
    <x v="232"/>
    <x v="4"/>
  </r>
  <r>
    <x v="0"/>
    <x v="25"/>
    <x v="25"/>
    <x v="21"/>
    <x v="21"/>
    <x v="21"/>
    <x v="17"/>
    <x v="221"/>
    <x v="15"/>
    <x v="33"/>
    <x v="31"/>
    <x v="66"/>
    <x v="234"/>
    <x v="4"/>
  </r>
  <r>
    <x v="0"/>
    <x v="25"/>
    <x v="25"/>
    <x v="19"/>
    <x v="19"/>
    <x v="19"/>
    <x v="18"/>
    <x v="49"/>
    <x v="150"/>
    <x v="51"/>
    <x v="362"/>
    <x v="101"/>
    <x v="123"/>
    <x v="4"/>
  </r>
  <r>
    <x v="0"/>
    <x v="25"/>
    <x v="25"/>
    <x v="15"/>
    <x v="15"/>
    <x v="15"/>
    <x v="18"/>
    <x v="49"/>
    <x v="150"/>
    <x v="100"/>
    <x v="236"/>
    <x v="48"/>
    <x v="219"/>
    <x v="4"/>
  </r>
  <r>
    <x v="0"/>
    <x v="26"/>
    <x v="26"/>
    <x v="0"/>
    <x v="0"/>
    <x v="0"/>
    <x v="0"/>
    <x v="244"/>
    <x v="213"/>
    <x v="175"/>
    <x v="363"/>
    <x v="68"/>
    <x v="342"/>
    <x v="4"/>
  </r>
  <r>
    <x v="0"/>
    <x v="26"/>
    <x v="26"/>
    <x v="1"/>
    <x v="1"/>
    <x v="1"/>
    <x v="1"/>
    <x v="245"/>
    <x v="335"/>
    <x v="176"/>
    <x v="364"/>
    <x v="98"/>
    <x v="343"/>
    <x v="4"/>
  </r>
  <r>
    <x v="0"/>
    <x v="26"/>
    <x v="26"/>
    <x v="4"/>
    <x v="4"/>
    <x v="4"/>
    <x v="2"/>
    <x v="91"/>
    <x v="336"/>
    <x v="146"/>
    <x v="244"/>
    <x v="185"/>
    <x v="344"/>
    <x v="4"/>
  </r>
  <r>
    <x v="0"/>
    <x v="26"/>
    <x v="26"/>
    <x v="5"/>
    <x v="5"/>
    <x v="5"/>
    <x v="3"/>
    <x v="246"/>
    <x v="337"/>
    <x v="177"/>
    <x v="365"/>
    <x v="125"/>
    <x v="345"/>
    <x v="4"/>
  </r>
  <r>
    <x v="0"/>
    <x v="26"/>
    <x v="26"/>
    <x v="2"/>
    <x v="2"/>
    <x v="2"/>
    <x v="4"/>
    <x v="177"/>
    <x v="338"/>
    <x v="178"/>
    <x v="242"/>
    <x v="40"/>
    <x v="346"/>
    <x v="4"/>
  </r>
  <r>
    <x v="0"/>
    <x v="26"/>
    <x v="26"/>
    <x v="3"/>
    <x v="3"/>
    <x v="3"/>
    <x v="5"/>
    <x v="236"/>
    <x v="191"/>
    <x v="179"/>
    <x v="366"/>
    <x v="174"/>
    <x v="347"/>
    <x v="4"/>
  </r>
  <r>
    <x v="0"/>
    <x v="26"/>
    <x v="26"/>
    <x v="6"/>
    <x v="6"/>
    <x v="6"/>
    <x v="6"/>
    <x v="115"/>
    <x v="339"/>
    <x v="55"/>
    <x v="184"/>
    <x v="117"/>
    <x v="348"/>
    <x v="4"/>
  </r>
  <r>
    <x v="0"/>
    <x v="26"/>
    <x v="26"/>
    <x v="8"/>
    <x v="8"/>
    <x v="8"/>
    <x v="7"/>
    <x v="96"/>
    <x v="340"/>
    <x v="56"/>
    <x v="367"/>
    <x v="129"/>
    <x v="121"/>
    <x v="4"/>
  </r>
  <r>
    <x v="0"/>
    <x v="26"/>
    <x v="26"/>
    <x v="9"/>
    <x v="9"/>
    <x v="9"/>
    <x v="8"/>
    <x v="40"/>
    <x v="341"/>
    <x v="66"/>
    <x v="368"/>
    <x v="167"/>
    <x v="349"/>
    <x v="4"/>
  </r>
  <r>
    <x v="0"/>
    <x v="26"/>
    <x v="26"/>
    <x v="11"/>
    <x v="11"/>
    <x v="11"/>
    <x v="9"/>
    <x v="130"/>
    <x v="79"/>
    <x v="78"/>
    <x v="369"/>
    <x v="132"/>
    <x v="140"/>
    <x v="4"/>
  </r>
  <r>
    <x v="0"/>
    <x v="26"/>
    <x v="26"/>
    <x v="7"/>
    <x v="7"/>
    <x v="7"/>
    <x v="9"/>
    <x v="130"/>
    <x v="79"/>
    <x v="133"/>
    <x v="370"/>
    <x v="48"/>
    <x v="134"/>
    <x v="4"/>
  </r>
  <r>
    <x v="0"/>
    <x v="26"/>
    <x v="26"/>
    <x v="17"/>
    <x v="17"/>
    <x v="17"/>
    <x v="11"/>
    <x v="247"/>
    <x v="185"/>
    <x v="90"/>
    <x v="371"/>
    <x v="52"/>
    <x v="350"/>
    <x v="4"/>
  </r>
  <r>
    <x v="0"/>
    <x v="26"/>
    <x v="26"/>
    <x v="30"/>
    <x v="30"/>
    <x v="30"/>
    <x v="12"/>
    <x v="240"/>
    <x v="160"/>
    <x v="82"/>
    <x v="372"/>
    <x v="55"/>
    <x v="351"/>
    <x v="4"/>
  </r>
  <r>
    <x v="0"/>
    <x v="26"/>
    <x v="26"/>
    <x v="10"/>
    <x v="10"/>
    <x v="10"/>
    <x v="13"/>
    <x v="65"/>
    <x v="342"/>
    <x v="155"/>
    <x v="373"/>
    <x v="129"/>
    <x v="121"/>
    <x v="4"/>
  </r>
  <r>
    <x v="0"/>
    <x v="26"/>
    <x v="26"/>
    <x v="14"/>
    <x v="14"/>
    <x v="14"/>
    <x v="14"/>
    <x v="110"/>
    <x v="163"/>
    <x v="105"/>
    <x v="374"/>
    <x v="104"/>
    <x v="327"/>
    <x v="4"/>
  </r>
  <r>
    <x v="0"/>
    <x v="26"/>
    <x v="26"/>
    <x v="20"/>
    <x v="20"/>
    <x v="20"/>
    <x v="15"/>
    <x v="45"/>
    <x v="67"/>
    <x v="47"/>
    <x v="47"/>
    <x v="88"/>
    <x v="352"/>
    <x v="0"/>
  </r>
  <r>
    <x v="0"/>
    <x v="26"/>
    <x v="26"/>
    <x v="13"/>
    <x v="13"/>
    <x v="13"/>
    <x v="16"/>
    <x v="239"/>
    <x v="276"/>
    <x v="140"/>
    <x v="300"/>
    <x v="48"/>
    <x v="134"/>
    <x v="4"/>
  </r>
  <r>
    <x v="0"/>
    <x v="26"/>
    <x v="26"/>
    <x v="16"/>
    <x v="16"/>
    <x v="16"/>
    <x v="16"/>
    <x v="239"/>
    <x v="276"/>
    <x v="39"/>
    <x v="375"/>
    <x v="45"/>
    <x v="353"/>
    <x v="4"/>
  </r>
  <r>
    <x v="0"/>
    <x v="26"/>
    <x v="26"/>
    <x v="18"/>
    <x v="18"/>
    <x v="18"/>
    <x v="18"/>
    <x v="101"/>
    <x v="343"/>
    <x v="37"/>
    <x v="376"/>
    <x v="50"/>
    <x v="153"/>
    <x v="4"/>
  </r>
  <r>
    <x v="0"/>
    <x v="26"/>
    <x v="26"/>
    <x v="15"/>
    <x v="15"/>
    <x v="15"/>
    <x v="19"/>
    <x v="118"/>
    <x v="344"/>
    <x v="48"/>
    <x v="377"/>
    <x v="101"/>
    <x v="354"/>
    <x v="4"/>
  </r>
  <r>
    <x v="0"/>
    <x v="27"/>
    <x v="27"/>
    <x v="2"/>
    <x v="2"/>
    <x v="2"/>
    <x v="0"/>
    <x v="248"/>
    <x v="71"/>
    <x v="180"/>
    <x v="378"/>
    <x v="186"/>
    <x v="355"/>
    <x v="4"/>
  </r>
  <r>
    <x v="0"/>
    <x v="27"/>
    <x v="27"/>
    <x v="0"/>
    <x v="0"/>
    <x v="0"/>
    <x v="1"/>
    <x v="249"/>
    <x v="345"/>
    <x v="181"/>
    <x v="379"/>
    <x v="86"/>
    <x v="356"/>
    <x v="4"/>
  </r>
  <r>
    <x v="0"/>
    <x v="27"/>
    <x v="27"/>
    <x v="1"/>
    <x v="1"/>
    <x v="1"/>
    <x v="2"/>
    <x v="38"/>
    <x v="346"/>
    <x v="182"/>
    <x v="380"/>
    <x v="70"/>
    <x v="1"/>
    <x v="4"/>
  </r>
  <r>
    <x v="0"/>
    <x v="27"/>
    <x v="27"/>
    <x v="7"/>
    <x v="7"/>
    <x v="7"/>
    <x v="3"/>
    <x v="250"/>
    <x v="347"/>
    <x v="156"/>
    <x v="381"/>
    <x v="68"/>
    <x v="207"/>
    <x v="4"/>
  </r>
  <r>
    <x v="0"/>
    <x v="27"/>
    <x v="27"/>
    <x v="3"/>
    <x v="3"/>
    <x v="3"/>
    <x v="4"/>
    <x v="230"/>
    <x v="348"/>
    <x v="109"/>
    <x v="49"/>
    <x v="187"/>
    <x v="357"/>
    <x v="4"/>
  </r>
  <r>
    <x v="0"/>
    <x v="27"/>
    <x v="27"/>
    <x v="5"/>
    <x v="5"/>
    <x v="5"/>
    <x v="5"/>
    <x v="251"/>
    <x v="349"/>
    <x v="147"/>
    <x v="382"/>
    <x v="130"/>
    <x v="358"/>
    <x v="4"/>
  </r>
  <r>
    <x v="0"/>
    <x v="27"/>
    <x v="27"/>
    <x v="4"/>
    <x v="4"/>
    <x v="4"/>
    <x v="6"/>
    <x v="252"/>
    <x v="350"/>
    <x v="72"/>
    <x v="358"/>
    <x v="160"/>
    <x v="359"/>
    <x v="4"/>
  </r>
  <r>
    <x v="0"/>
    <x v="27"/>
    <x v="27"/>
    <x v="9"/>
    <x v="9"/>
    <x v="9"/>
    <x v="7"/>
    <x v="242"/>
    <x v="291"/>
    <x v="99"/>
    <x v="383"/>
    <x v="43"/>
    <x v="250"/>
    <x v="4"/>
  </r>
  <r>
    <x v="0"/>
    <x v="27"/>
    <x v="27"/>
    <x v="6"/>
    <x v="6"/>
    <x v="6"/>
    <x v="8"/>
    <x v="253"/>
    <x v="351"/>
    <x v="77"/>
    <x v="384"/>
    <x v="188"/>
    <x v="305"/>
    <x v="4"/>
  </r>
  <r>
    <x v="0"/>
    <x v="27"/>
    <x v="27"/>
    <x v="10"/>
    <x v="10"/>
    <x v="10"/>
    <x v="9"/>
    <x v="97"/>
    <x v="352"/>
    <x v="133"/>
    <x v="385"/>
    <x v="71"/>
    <x v="19"/>
    <x v="4"/>
  </r>
  <r>
    <x v="0"/>
    <x v="27"/>
    <x v="27"/>
    <x v="8"/>
    <x v="8"/>
    <x v="8"/>
    <x v="10"/>
    <x v="141"/>
    <x v="310"/>
    <x v="108"/>
    <x v="386"/>
    <x v="176"/>
    <x v="121"/>
    <x v="4"/>
  </r>
  <r>
    <x v="0"/>
    <x v="27"/>
    <x v="27"/>
    <x v="11"/>
    <x v="11"/>
    <x v="11"/>
    <x v="11"/>
    <x v="178"/>
    <x v="321"/>
    <x v="43"/>
    <x v="349"/>
    <x v="67"/>
    <x v="0"/>
    <x v="4"/>
  </r>
  <r>
    <x v="0"/>
    <x v="27"/>
    <x v="27"/>
    <x v="13"/>
    <x v="13"/>
    <x v="13"/>
    <x v="12"/>
    <x v="142"/>
    <x v="235"/>
    <x v="65"/>
    <x v="387"/>
    <x v="175"/>
    <x v="219"/>
    <x v="4"/>
  </r>
  <r>
    <x v="0"/>
    <x v="27"/>
    <x v="27"/>
    <x v="15"/>
    <x v="15"/>
    <x v="15"/>
    <x v="13"/>
    <x v="87"/>
    <x v="353"/>
    <x v="41"/>
    <x v="388"/>
    <x v="178"/>
    <x v="264"/>
    <x v="4"/>
  </r>
  <r>
    <x v="0"/>
    <x v="27"/>
    <x v="27"/>
    <x v="16"/>
    <x v="16"/>
    <x v="16"/>
    <x v="14"/>
    <x v="67"/>
    <x v="111"/>
    <x v="46"/>
    <x v="214"/>
    <x v="89"/>
    <x v="282"/>
    <x v="4"/>
  </r>
  <r>
    <x v="0"/>
    <x v="27"/>
    <x v="27"/>
    <x v="22"/>
    <x v="22"/>
    <x v="22"/>
    <x v="15"/>
    <x v="110"/>
    <x v="150"/>
    <x v="50"/>
    <x v="146"/>
    <x v="132"/>
    <x v="63"/>
    <x v="4"/>
  </r>
  <r>
    <x v="0"/>
    <x v="27"/>
    <x v="27"/>
    <x v="14"/>
    <x v="14"/>
    <x v="14"/>
    <x v="16"/>
    <x v="254"/>
    <x v="200"/>
    <x v="77"/>
    <x v="384"/>
    <x v="65"/>
    <x v="50"/>
    <x v="4"/>
  </r>
  <r>
    <x v="0"/>
    <x v="27"/>
    <x v="27"/>
    <x v="17"/>
    <x v="17"/>
    <x v="17"/>
    <x v="17"/>
    <x v="88"/>
    <x v="354"/>
    <x v="65"/>
    <x v="387"/>
    <x v="93"/>
    <x v="208"/>
    <x v="4"/>
  </r>
  <r>
    <x v="0"/>
    <x v="27"/>
    <x v="27"/>
    <x v="19"/>
    <x v="19"/>
    <x v="19"/>
    <x v="18"/>
    <x v="89"/>
    <x v="355"/>
    <x v="33"/>
    <x v="37"/>
    <x v="68"/>
    <x v="207"/>
    <x v="4"/>
  </r>
  <r>
    <x v="0"/>
    <x v="27"/>
    <x v="27"/>
    <x v="20"/>
    <x v="20"/>
    <x v="20"/>
    <x v="19"/>
    <x v="90"/>
    <x v="137"/>
    <x v="47"/>
    <x v="47"/>
    <x v="71"/>
    <x v="19"/>
    <x v="4"/>
  </r>
  <r>
    <x v="0"/>
    <x v="28"/>
    <x v="28"/>
    <x v="1"/>
    <x v="1"/>
    <x v="1"/>
    <x v="0"/>
    <x v="255"/>
    <x v="356"/>
    <x v="183"/>
    <x v="389"/>
    <x v="67"/>
    <x v="37"/>
    <x v="0"/>
  </r>
  <r>
    <x v="0"/>
    <x v="28"/>
    <x v="28"/>
    <x v="0"/>
    <x v="0"/>
    <x v="0"/>
    <x v="1"/>
    <x v="256"/>
    <x v="357"/>
    <x v="175"/>
    <x v="390"/>
    <x v="189"/>
    <x v="271"/>
    <x v="4"/>
  </r>
  <r>
    <x v="0"/>
    <x v="28"/>
    <x v="28"/>
    <x v="2"/>
    <x v="2"/>
    <x v="2"/>
    <x v="2"/>
    <x v="257"/>
    <x v="358"/>
    <x v="179"/>
    <x v="391"/>
    <x v="190"/>
    <x v="360"/>
    <x v="3"/>
  </r>
  <r>
    <x v="0"/>
    <x v="28"/>
    <x v="28"/>
    <x v="3"/>
    <x v="3"/>
    <x v="3"/>
    <x v="3"/>
    <x v="258"/>
    <x v="359"/>
    <x v="70"/>
    <x v="392"/>
    <x v="191"/>
    <x v="256"/>
    <x v="4"/>
  </r>
  <r>
    <x v="0"/>
    <x v="28"/>
    <x v="28"/>
    <x v="4"/>
    <x v="4"/>
    <x v="4"/>
    <x v="4"/>
    <x v="259"/>
    <x v="205"/>
    <x v="42"/>
    <x v="393"/>
    <x v="192"/>
    <x v="224"/>
    <x v="4"/>
  </r>
  <r>
    <x v="0"/>
    <x v="28"/>
    <x v="28"/>
    <x v="5"/>
    <x v="5"/>
    <x v="5"/>
    <x v="5"/>
    <x v="260"/>
    <x v="360"/>
    <x v="146"/>
    <x v="295"/>
    <x v="193"/>
    <x v="361"/>
    <x v="4"/>
  </r>
  <r>
    <x v="0"/>
    <x v="28"/>
    <x v="28"/>
    <x v="6"/>
    <x v="6"/>
    <x v="6"/>
    <x v="6"/>
    <x v="176"/>
    <x v="361"/>
    <x v="60"/>
    <x v="231"/>
    <x v="194"/>
    <x v="362"/>
    <x v="0"/>
  </r>
  <r>
    <x v="0"/>
    <x v="28"/>
    <x v="28"/>
    <x v="12"/>
    <x v="12"/>
    <x v="12"/>
    <x v="7"/>
    <x v="93"/>
    <x v="134"/>
    <x v="102"/>
    <x v="394"/>
    <x v="130"/>
    <x v="138"/>
    <x v="4"/>
  </r>
  <r>
    <x v="0"/>
    <x v="28"/>
    <x v="28"/>
    <x v="7"/>
    <x v="7"/>
    <x v="7"/>
    <x v="8"/>
    <x v="261"/>
    <x v="362"/>
    <x v="113"/>
    <x v="395"/>
    <x v="69"/>
    <x v="181"/>
    <x v="4"/>
  </r>
  <r>
    <x v="0"/>
    <x v="28"/>
    <x v="28"/>
    <x v="9"/>
    <x v="9"/>
    <x v="9"/>
    <x v="8"/>
    <x v="261"/>
    <x v="362"/>
    <x v="184"/>
    <x v="307"/>
    <x v="48"/>
    <x v="155"/>
    <x v="4"/>
  </r>
  <r>
    <x v="0"/>
    <x v="28"/>
    <x v="28"/>
    <x v="8"/>
    <x v="8"/>
    <x v="8"/>
    <x v="10"/>
    <x v="262"/>
    <x v="169"/>
    <x v="138"/>
    <x v="396"/>
    <x v="81"/>
    <x v="202"/>
    <x v="4"/>
  </r>
  <r>
    <x v="0"/>
    <x v="28"/>
    <x v="28"/>
    <x v="11"/>
    <x v="11"/>
    <x v="11"/>
    <x v="11"/>
    <x v="263"/>
    <x v="293"/>
    <x v="155"/>
    <x v="271"/>
    <x v="126"/>
    <x v="114"/>
    <x v="4"/>
  </r>
  <r>
    <x v="0"/>
    <x v="28"/>
    <x v="28"/>
    <x v="10"/>
    <x v="10"/>
    <x v="10"/>
    <x v="12"/>
    <x v="117"/>
    <x v="301"/>
    <x v="119"/>
    <x v="397"/>
    <x v="105"/>
    <x v="310"/>
    <x v="4"/>
  </r>
  <r>
    <x v="0"/>
    <x v="28"/>
    <x v="28"/>
    <x v="21"/>
    <x v="21"/>
    <x v="21"/>
    <x v="13"/>
    <x v="85"/>
    <x v="334"/>
    <x v="45"/>
    <x v="398"/>
    <x v="44"/>
    <x v="363"/>
    <x v="4"/>
  </r>
  <r>
    <x v="0"/>
    <x v="28"/>
    <x v="28"/>
    <x v="13"/>
    <x v="13"/>
    <x v="13"/>
    <x v="14"/>
    <x v="247"/>
    <x v="51"/>
    <x v="45"/>
    <x v="398"/>
    <x v="42"/>
    <x v="364"/>
    <x v="4"/>
  </r>
  <r>
    <x v="0"/>
    <x v="28"/>
    <x v="28"/>
    <x v="28"/>
    <x v="28"/>
    <x v="28"/>
    <x v="15"/>
    <x v="107"/>
    <x v="363"/>
    <x v="39"/>
    <x v="399"/>
    <x v="57"/>
    <x v="253"/>
    <x v="4"/>
  </r>
  <r>
    <x v="0"/>
    <x v="28"/>
    <x v="28"/>
    <x v="14"/>
    <x v="14"/>
    <x v="14"/>
    <x v="16"/>
    <x v="108"/>
    <x v="302"/>
    <x v="46"/>
    <x v="246"/>
    <x v="61"/>
    <x v="69"/>
    <x v="4"/>
  </r>
  <r>
    <x v="0"/>
    <x v="28"/>
    <x v="28"/>
    <x v="15"/>
    <x v="15"/>
    <x v="15"/>
    <x v="17"/>
    <x v="66"/>
    <x v="364"/>
    <x v="59"/>
    <x v="66"/>
    <x v="148"/>
    <x v="365"/>
    <x v="4"/>
  </r>
  <r>
    <x v="0"/>
    <x v="28"/>
    <x v="28"/>
    <x v="16"/>
    <x v="16"/>
    <x v="16"/>
    <x v="18"/>
    <x v="204"/>
    <x v="85"/>
    <x v="162"/>
    <x v="400"/>
    <x v="66"/>
    <x v="148"/>
    <x v="4"/>
  </r>
  <r>
    <x v="0"/>
    <x v="28"/>
    <x v="28"/>
    <x v="32"/>
    <x v="32"/>
    <x v="32"/>
    <x v="19"/>
    <x v="264"/>
    <x v="277"/>
    <x v="45"/>
    <x v="398"/>
    <x v="88"/>
    <x v="147"/>
    <x v="4"/>
  </r>
  <r>
    <x v="0"/>
    <x v="29"/>
    <x v="29"/>
    <x v="0"/>
    <x v="0"/>
    <x v="0"/>
    <x v="0"/>
    <x v="265"/>
    <x v="365"/>
    <x v="185"/>
    <x v="401"/>
    <x v="195"/>
    <x v="366"/>
    <x v="4"/>
  </r>
  <r>
    <x v="0"/>
    <x v="29"/>
    <x v="29"/>
    <x v="1"/>
    <x v="1"/>
    <x v="1"/>
    <x v="1"/>
    <x v="266"/>
    <x v="366"/>
    <x v="186"/>
    <x v="402"/>
    <x v="85"/>
    <x v="262"/>
    <x v="4"/>
  </r>
  <r>
    <x v="0"/>
    <x v="29"/>
    <x v="29"/>
    <x v="2"/>
    <x v="2"/>
    <x v="2"/>
    <x v="2"/>
    <x v="267"/>
    <x v="317"/>
    <x v="123"/>
    <x v="403"/>
    <x v="34"/>
    <x v="367"/>
    <x v="3"/>
  </r>
  <r>
    <x v="0"/>
    <x v="29"/>
    <x v="29"/>
    <x v="3"/>
    <x v="3"/>
    <x v="3"/>
    <x v="3"/>
    <x v="268"/>
    <x v="367"/>
    <x v="83"/>
    <x v="404"/>
    <x v="196"/>
    <x v="368"/>
    <x v="4"/>
  </r>
  <r>
    <x v="0"/>
    <x v="29"/>
    <x v="29"/>
    <x v="5"/>
    <x v="5"/>
    <x v="5"/>
    <x v="4"/>
    <x v="269"/>
    <x v="368"/>
    <x v="187"/>
    <x v="405"/>
    <x v="171"/>
    <x v="369"/>
    <x v="4"/>
  </r>
  <r>
    <x v="0"/>
    <x v="29"/>
    <x v="29"/>
    <x v="4"/>
    <x v="4"/>
    <x v="4"/>
    <x v="5"/>
    <x v="270"/>
    <x v="168"/>
    <x v="70"/>
    <x v="106"/>
    <x v="197"/>
    <x v="23"/>
    <x v="4"/>
  </r>
  <r>
    <x v="0"/>
    <x v="29"/>
    <x v="29"/>
    <x v="7"/>
    <x v="7"/>
    <x v="7"/>
    <x v="6"/>
    <x v="271"/>
    <x v="369"/>
    <x v="188"/>
    <x v="406"/>
    <x v="178"/>
    <x v="133"/>
    <x v="4"/>
  </r>
  <r>
    <x v="0"/>
    <x v="29"/>
    <x v="29"/>
    <x v="9"/>
    <x v="9"/>
    <x v="9"/>
    <x v="7"/>
    <x v="272"/>
    <x v="219"/>
    <x v="189"/>
    <x v="407"/>
    <x v="89"/>
    <x v="155"/>
    <x v="4"/>
  </r>
  <r>
    <x v="0"/>
    <x v="29"/>
    <x v="29"/>
    <x v="6"/>
    <x v="6"/>
    <x v="6"/>
    <x v="8"/>
    <x v="147"/>
    <x v="146"/>
    <x v="84"/>
    <x v="408"/>
    <x v="136"/>
    <x v="370"/>
    <x v="4"/>
  </r>
  <r>
    <x v="0"/>
    <x v="29"/>
    <x v="29"/>
    <x v="8"/>
    <x v="8"/>
    <x v="8"/>
    <x v="9"/>
    <x v="273"/>
    <x v="370"/>
    <x v="180"/>
    <x v="409"/>
    <x v="147"/>
    <x v="160"/>
    <x v="4"/>
  </r>
  <r>
    <x v="0"/>
    <x v="29"/>
    <x v="29"/>
    <x v="14"/>
    <x v="14"/>
    <x v="14"/>
    <x v="10"/>
    <x v="274"/>
    <x v="371"/>
    <x v="109"/>
    <x v="410"/>
    <x v="198"/>
    <x v="371"/>
    <x v="4"/>
  </r>
  <r>
    <x v="0"/>
    <x v="29"/>
    <x v="29"/>
    <x v="10"/>
    <x v="10"/>
    <x v="10"/>
    <x v="11"/>
    <x v="275"/>
    <x v="372"/>
    <x v="190"/>
    <x v="411"/>
    <x v="69"/>
    <x v="282"/>
    <x v="4"/>
  </r>
  <r>
    <x v="0"/>
    <x v="29"/>
    <x v="29"/>
    <x v="11"/>
    <x v="11"/>
    <x v="11"/>
    <x v="12"/>
    <x v="276"/>
    <x v="120"/>
    <x v="40"/>
    <x v="412"/>
    <x v="120"/>
    <x v="311"/>
    <x v="4"/>
  </r>
  <r>
    <x v="0"/>
    <x v="29"/>
    <x v="29"/>
    <x v="15"/>
    <x v="15"/>
    <x v="15"/>
    <x v="13"/>
    <x v="139"/>
    <x v="373"/>
    <x v="96"/>
    <x v="77"/>
    <x v="78"/>
    <x v="372"/>
    <x v="4"/>
  </r>
  <r>
    <x v="0"/>
    <x v="29"/>
    <x v="29"/>
    <x v="12"/>
    <x v="12"/>
    <x v="12"/>
    <x v="14"/>
    <x v="61"/>
    <x v="334"/>
    <x v="128"/>
    <x v="384"/>
    <x v="116"/>
    <x v="293"/>
    <x v="4"/>
  </r>
  <r>
    <x v="0"/>
    <x v="29"/>
    <x v="29"/>
    <x v="16"/>
    <x v="16"/>
    <x v="16"/>
    <x v="15"/>
    <x v="96"/>
    <x v="13"/>
    <x v="97"/>
    <x v="326"/>
    <x v="81"/>
    <x v="14"/>
    <x v="4"/>
  </r>
  <r>
    <x v="0"/>
    <x v="29"/>
    <x v="29"/>
    <x v="13"/>
    <x v="13"/>
    <x v="13"/>
    <x v="16"/>
    <x v="217"/>
    <x v="197"/>
    <x v="84"/>
    <x v="408"/>
    <x v="118"/>
    <x v="327"/>
    <x v="4"/>
  </r>
  <r>
    <x v="0"/>
    <x v="29"/>
    <x v="29"/>
    <x v="19"/>
    <x v="19"/>
    <x v="19"/>
    <x v="17"/>
    <x v="178"/>
    <x v="16"/>
    <x v="48"/>
    <x v="15"/>
    <x v="189"/>
    <x v="26"/>
    <x v="4"/>
  </r>
  <r>
    <x v="0"/>
    <x v="29"/>
    <x v="29"/>
    <x v="21"/>
    <x v="21"/>
    <x v="21"/>
    <x v="18"/>
    <x v="84"/>
    <x v="53"/>
    <x v="58"/>
    <x v="147"/>
    <x v="86"/>
    <x v="177"/>
    <x v="4"/>
  </r>
  <r>
    <x v="0"/>
    <x v="29"/>
    <x v="29"/>
    <x v="18"/>
    <x v="18"/>
    <x v="18"/>
    <x v="19"/>
    <x v="98"/>
    <x v="198"/>
    <x v="34"/>
    <x v="216"/>
    <x v="64"/>
    <x v="63"/>
    <x v="4"/>
  </r>
  <r>
    <x v="0"/>
    <x v="30"/>
    <x v="30"/>
    <x v="2"/>
    <x v="2"/>
    <x v="2"/>
    <x v="0"/>
    <x v="250"/>
    <x v="374"/>
    <x v="191"/>
    <x v="413"/>
    <x v="199"/>
    <x v="373"/>
    <x v="4"/>
  </r>
  <r>
    <x v="0"/>
    <x v="30"/>
    <x v="30"/>
    <x v="1"/>
    <x v="1"/>
    <x v="1"/>
    <x v="1"/>
    <x v="277"/>
    <x v="375"/>
    <x v="156"/>
    <x v="414"/>
    <x v="73"/>
    <x v="374"/>
    <x v="4"/>
  </r>
  <r>
    <x v="0"/>
    <x v="30"/>
    <x v="30"/>
    <x v="0"/>
    <x v="0"/>
    <x v="0"/>
    <x v="2"/>
    <x v="276"/>
    <x v="376"/>
    <x v="192"/>
    <x v="415"/>
    <x v="48"/>
    <x v="375"/>
    <x v="4"/>
  </r>
  <r>
    <x v="0"/>
    <x v="30"/>
    <x v="30"/>
    <x v="5"/>
    <x v="5"/>
    <x v="5"/>
    <x v="3"/>
    <x v="168"/>
    <x v="377"/>
    <x v="104"/>
    <x v="340"/>
    <x v="109"/>
    <x v="376"/>
    <x v="4"/>
  </r>
  <r>
    <x v="0"/>
    <x v="30"/>
    <x v="30"/>
    <x v="3"/>
    <x v="3"/>
    <x v="3"/>
    <x v="4"/>
    <x v="44"/>
    <x v="378"/>
    <x v="38"/>
    <x v="158"/>
    <x v="81"/>
    <x v="377"/>
    <x v="4"/>
  </r>
  <r>
    <x v="0"/>
    <x v="30"/>
    <x v="30"/>
    <x v="9"/>
    <x v="9"/>
    <x v="9"/>
    <x v="5"/>
    <x v="201"/>
    <x v="145"/>
    <x v="193"/>
    <x v="416"/>
    <x v="112"/>
    <x v="378"/>
    <x v="4"/>
  </r>
  <r>
    <x v="0"/>
    <x v="30"/>
    <x v="30"/>
    <x v="8"/>
    <x v="8"/>
    <x v="8"/>
    <x v="6"/>
    <x v="264"/>
    <x v="340"/>
    <x v="104"/>
    <x v="340"/>
    <x v="101"/>
    <x v="379"/>
    <x v="4"/>
  </r>
  <r>
    <x v="0"/>
    <x v="30"/>
    <x v="30"/>
    <x v="6"/>
    <x v="6"/>
    <x v="6"/>
    <x v="7"/>
    <x v="99"/>
    <x v="94"/>
    <x v="50"/>
    <x v="82"/>
    <x v="69"/>
    <x v="75"/>
    <x v="4"/>
  </r>
  <r>
    <x v="0"/>
    <x v="30"/>
    <x v="30"/>
    <x v="7"/>
    <x v="7"/>
    <x v="7"/>
    <x v="8"/>
    <x v="223"/>
    <x v="379"/>
    <x v="35"/>
    <x v="269"/>
    <x v="112"/>
    <x v="378"/>
    <x v="4"/>
  </r>
  <r>
    <x v="0"/>
    <x v="30"/>
    <x v="30"/>
    <x v="4"/>
    <x v="4"/>
    <x v="4"/>
    <x v="9"/>
    <x v="254"/>
    <x v="362"/>
    <x v="96"/>
    <x v="417"/>
    <x v="68"/>
    <x v="380"/>
    <x v="4"/>
  </r>
  <r>
    <x v="0"/>
    <x v="30"/>
    <x v="30"/>
    <x v="14"/>
    <x v="14"/>
    <x v="14"/>
    <x v="10"/>
    <x v="72"/>
    <x v="110"/>
    <x v="42"/>
    <x v="418"/>
    <x v="51"/>
    <x v="70"/>
    <x v="4"/>
  </r>
  <r>
    <x v="0"/>
    <x v="30"/>
    <x v="30"/>
    <x v="15"/>
    <x v="15"/>
    <x v="15"/>
    <x v="11"/>
    <x v="103"/>
    <x v="322"/>
    <x v="41"/>
    <x v="419"/>
    <x v="101"/>
    <x v="379"/>
    <x v="4"/>
  </r>
  <r>
    <x v="0"/>
    <x v="30"/>
    <x v="30"/>
    <x v="10"/>
    <x v="10"/>
    <x v="10"/>
    <x v="11"/>
    <x v="103"/>
    <x v="322"/>
    <x v="39"/>
    <x v="420"/>
    <x v="51"/>
    <x v="70"/>
    <x v="4"/>
  </r>
  <r>
    <x v="0"/>
    <x v="30"/>
    <x v="30"/>
    <x v="13"/>
    <x v="13"/>
    <x v="13"/>
    <x v="13"/>
    <x v="51"/>
    <x v="98"/>
    <x v="68"/>
    <x v="272"/>
    <x v="52"/>
    <x v="381"/>
    <x v="4"/>
  </r>
  <r>
    <x v="0"/>
    <x v="30"/>
    <x v="30"/>
    <x v="11"/>
    <x v="11"/>
    <x v="11"/>
    <x v="14"/>
    <x v="52"/>
    <x v="276"/>
    <x v="37"/>
    <x v="421"/>
    <x v="112"/>
    <x v="378"/>
    <x v="4"/>
  </r>
  <r>
    <x v="0"/>
    <x v="30"/>
    <x v="30"/>
    <x v="21"/>
    <x v="21"/>
    <x v="21"/>
    <x v="15"/>
    <x v="119"/>
    <x v="302"/>
    <x v="59"/>
    <x v="53"/>
    <x v="93"/>
    <x v="293"/>
    <x v="4"/>
  </r>
  <r>
    <x v="0"/>
    <x v="30"/>
    <x v="30"/>
    <x v="16"/>
    <x v="16"/>
    <x v="16"/>
    <x v="15"/>
    <x v="119"/>
    <x v="302"/>
    <x v="48"/>
    <x v="422"/>
    <x v="114"/>
    <x v="139"/>
    <x v="4"/>
  </r>
  <r>
    <x v="0"/>
    <x v="30"/>
    <x v="30"/>
    <x v="20"/>
    <x v="20"/>
    <x v="20"/>
    <x v="15"/>
    <x v="119"/>
    <x v="302"/>
    <x v="51"/>
    <x v="327"/>
    <x v="52"/>
    <x v="381"/>
    <x v="4"/>
  </r>
  <r>
    <x v="0"/>
    <x v="30"/>
    <x v="30"/>
    <x v="18"/>
    <x v="18"/>
    <x v="18"/>
    <x v="18"/>
    <x v="54"/>
    <x v="380"/>
    <x v="33"/>
    <x v="315"/>
    <x v="74"/>
    <x v="179"/>
    <x v="4"/>
  </r>
  <r>
    <x v="0"/>
    <x v="30"/>
    <x v="30"/>
    <x v="19"/>
    <x v="19"/>
    <x v="19"/>
    <x v="19"/>
    <x v="56"/>
    <x v="381"/>
    <x v="59"/>
    <x v="53"/>
    <x v="51"/>
    <x v="70"/>
    <x v="4"/>
  </r>
  <r>
    <x v="0"/>
    <x v="30"/>
    <x v="30"/>
    <x v="25"/>
    <x v="25"/>
    <x v="25"/>
    <x v="19"/>
    <x v="56"/>
    <x v="381"/>
    <x v="59"/>
    <x v="53"/>
    <x v="51"/>
    <x v="70"/>
    <x v="4"/>
  </r>
  <r>
    <x v="0"/>
    <x v="31"/>
    <x v="31"/>
    <x v="2"/>
    <x v="2"/>
    <x v="2"/>
    <x v="0"/>
    <x v="278"/>
    <x v="382"/>
    <x v="194"/>
    <x v="423"/>
    <x v="200"/>
    <x v="382"/>
    <x v="4"/>
  </r>
  <r>
    <x v="0"/>
    <x v="31"/>
    <x v="31"/>
    <x v="0"/>
    <x v="0"/>
    <x v="0"/>
    <x v="1"/>
    <x v="259"/>
    <x v="383"/>
    <x v="19"/>
    <x v="424"/>
    <x v="70"/>
    <x v="383"/>
    <x v="4"/>
  </r>
  <r>
    <x v="0"/>
    <x v="31"/>
    <x v="31"/>
    <x v="1"/>
    <x v="1"/>
    <x v="1"/>
    <x v="2"/>
    <x v="279"/>
    <x v="384"/>
    <x v="187"/>
    <x v="425"/>
    <x v="58"/>
    <x v="222"/>
    <x v="4"/>
  </r>
  <r>
    <x v="0"/>
    <x v="31"/>
    <x v="31"/>
    <x v="3"/>
    <x v="3"/>
    <x v="3"/>
    <x v="3"/>
    <x v="231"/>
    <x v="385"/>
    <x v="103"/>
    <x v="258"/>
    <x v="195"/>
    <x v="384"/>
    <x v="4"/>
  </r>
  <r>
    <x v="0"/>
    <x v="31"/>
    <x v="31"/>
    <x v="4"/>
    <x v="4"/>
    <x v="4"/>
    <x v="4"/>
    <x v="243"/>
    <x v="192"/>
    <x v="67"/>
    <x v="426"/>
    <x v="201"/>
    <x v="385"/>
    <x v="4"/>
  </r>
  <r>
    <x v="0"/>
    <x v="31"/>
    <x v="31"/>
    <x v="6"/>
    <x v="6"/>
    <x v="6"/>
    <x v="5"/>
    <x v="97"/>
    <x v="386"/>
    <x v="96"/>
    <x v="427"/>
    <x v="82"/>
    <x v="79"/>
    <x v="4"/>
  </r>
  <r>
    <x v="0"/>
    <x v="31"/>
    <x v="31"/>
    <x v="7"/>
    <x v="7"/>
    <x v="7"/>
    <x v="6"/>
    <x v="136"/>
    <x v="387"/>
    <x v="139"/>
    <x v="428"/>
    <x v="100"/>
    <x v="87"/>
    <x v="4"/>
  </r>
  <r>
    <x v="0"/>
    <x v="31"/>
    <x v="31"/>
    <x v="12"/>
    <x v="12"/>
    <x v="12"/>
    <x v="7"/>
    <x v="167"/>
    <x v="388"/>
    <x v="38"/>
    <x v="181"/>
    <x v="202"/>
    <x v="386"/>
    <x v="4"/>
  </r>
  <r>
    <x v="0"/>
    <x v="31"/>
    <x v="31"/>
    <x v="34"/>
    <x v="34"/>
    <x v="34"/>
    <x v="8"/>
    <x v="200"/>
    <x v="389"/>
    <x v="38"/>
    <x v="181"/>
    <x v="44"/>
    <x v="303"/>
    <x v="4"/>
  </r>
  <r>
    <x v="0"/>
    <x v="31"/>
    <x v="31"/>
    <x v="5"/>
    <x v="5"/>
    <x v="5"/>
    <x v="9"/>
    <x v="42"/>
    <x v="64"/>
    <x v="104"/>
    <x v="38"/>
    <x v="175"/>
    <x v="325"/>
    <x v="4"/>
  </r>
  <r>
    <x v="0"/>
    <x v="31"/>
    <x v="31"/>
    <x v="10"/>
    <x v="10"/>
    <x v="10"/>
    <x v="10"/>
    <x v="168"/>
    <x v="390"/>
    <x v="44"/>
    <x v="3"/>
    <x v="91"/>
    <x v="133"/>
    <x v="4"/>
  </r>
  <r>
    <x v="0"/>
    <x v="31"/>
    <x v="31"/>
    <x v="9"/>
    <x v="9"/>
    <x v="9"/>
    <x v="10"/>
    <x v="168"/>
    <x v="390"/>
    <x v="40"/>
    <x v="429"/>
    <x v="112"/>
    <x v="387"/>
    <x v="4"/>
  </r>
  <r>
    <x v="0"/>
    <x v="31"/>
    <x v="31"/>
    <x v="23"/>
    <x v="23"/>
    <x v="23"/>
    <x v="12"/>
    <x v="65"/>
    <x v="342"/>
    <x v="50"/>
    <x v="430"/>
    <x v="123"/>
    <x v="343"/>
    <x v="4"/>
  </r>
  <r>
    <x v="0"/>
    <x v="31"/>
    <x v="31"/>
    <x v="11"/>
    <x v="11"/>
    <x v="11"/>
    <x v="13"/>
    <x v="66"/>
    <x v="391"/>
    <x v="31"/>
    <x v="431"/>
    <x v="68"/>
    <x v="388"/>
    <x v="4"/>
  </r>
  <r>
    <x v="0"/>
    <x v="31"/>
    <x v="31"/>
    <x v="18"/>
    <x v="18"/>
    <x v="18"/>
    <x v="14"/>
    <x v="264"/>
    <x v="172"/>
    <x v="50"/>
    <x v="430"/>
    <x v="121"/>
    <x v="252"/>
    <x v="4"/>
  </r>
  <r>
    <x v="0"/>
    <x v="31"/>
    <x v="31"/>
    <x v="8"/>
    <x v="8"/>
    <x v="8"/>
    <x v="15"/>
    <x v="110"/>
    <x v="163"/>
    <x v="142"/>
    <x v="192"/>
    <x v="74"/>
    <x v="60"/>
    <x v="4"/>
  </r>
  <r>
    <x v="0"/>
    <x v="31"/>
    <x v="31"/>
    <x v="13"/>
    <x v="13"/>
    <x v="13"/>
    <x v="16"/>
    <x v="88"/>
    <x v="36"/>
    <x v="60"/>
    <x v="432"/>
    <x v="45"/>
    <x v="69"/>
    <x v="4"/>
  </r>
  <r>
    <x v="0"/>
    <x v="31"/>
    <x v="31"/>
    <x v="22"/>
    <x v="22"/>
    <x v="22"/>
    <x v="17"/>
    <x v="69"/>
    <x v="212"/>
    <x v="33"/>
    <x v="173"/>
    <x v="91"/>
    <x v="133"/>
    <x v="3"/>
  </r>
  <r>
    <x v="0"/>
    <x v="31"/>
    <x v="31"/>
    <x v="19"/>
    <x v="19"/>
    <x v="19"/>
    <x v="18"/>
    <x v="90"/>
    <x v="199"/>
    <x v="59"/>
    <x v="203"/>
    <x v="68"/>
    <x v="388"/>
    <x v="4"/>
  </r>
  <r>
    <x v="0"/>
    <x v="31"/>
    <x v="31"/>
    <x v="15"/>
    <x v="15"/>
    <x v="15"/>
    <x v="18"/>
    <x v="90"/>
    <x v="199"/>
    <x v="33"/>
    <x v="173"/>
    <x v="91"/>
    <x v="133"/>
    <x v="4"/>
  </r>
  <r>
    <x v="0"/>
    <x v="32"/>
    <x v="32"/>
    <x v="0"/>
    <x v="0"/>
    <x v="0"/>
    <x v="0"/>
    <x v="173"/>
    <x v="392"/>
    <x v="195"/>
    <x v="433"/>
    <x v="71"/>
    <x v="374"/>
    <x v="4"/>
  </r>
  <r>
    <x v="0"/>
    <x v="32"/>
    <x v="32"/>
    <x v="1"/>
    <x v="1"/>
    <x v="1"/>
    <x v="1"/>
    <x v="224"/>
    <x v="393"/>
    <x v="189"/>
    <x v="434"/>
    <x v="45"/>
    <x v="134"/>
    <x v="4"/>
  </r>
  <r>
    <x v="0"/>
    <x v="32"/>
    <x v="32"/>
    <x v="4"/>
    <x v="4"/>
    <x v="4"/>
    <x v="2"/>
    <x v="273"/>
    <x v="316"/>
    <x v="119"/>
    <x v="386"/>
    <x v="203"/>
    <x v="389"/>
    <x v="4"/>
  </r>
  <r>
    <x v="0"/>
    <x v="32"/>
    <x v="32"/>
    <x v="3"/>
    <x v="3"/>
    <x v="3"/>
    <x v="3"/>
    <x v="280"/>
    <x v="394"/>
    <x v="155"/>
    <x v="178"/>
    <x v="204"/>
    <x v="390"/>
    <x v="4"/>
  </r>
  <r>
    <x v="0"/>
    <x v="32"/>
    <x v="32"/>
    <x v="2"/>
    <x v="2"/>
    <x v="2"/>
    <x v="4"/>
    <x v="252"/>
    <x v="3"/>
    <x v="148"/>
    <x v="253"/>
    <x v="173"/>
    <x v="92"/>
    <x v="0"/>
  </r>
  <r>
    <x v="0"/>
    <x v="32"/>
    <x v="32"/>
    <x v="8"/>
    <x v="8"/>
    <x v="8"/>
    <x v="5"/>
    <x v="94"/>
    <x v="395"/>
    <x v="154"/>
    <x v="435"/>
    <x v="91"/>
    <x v="261"/>
    <x v="4"/>
  </r>
  <r>
    <x v="0"/>
    <x v="32"/>
    <x v="32"/>
    <x v="7"/>
    <x v="7"/>
    <x v="7"/>
    <x v="6"/>
    <x v="95"/>
    <x v="24"/>
    <x v="123"/>
    <x v="436"/>
    <x v="89"/>
    <x v="179"/>
    <x v="4"/>
  </r>
  <r>
    <x v="0"/>
    <x v="32"/>
    <x v="32"/>
    <x v="5"/>
    <x v="5"/>
    <x v="5"/>
    <x v="7"/>
    <x v="60"/>
    <x v="192"/>
    <x v="108"/>
    <x v="437"/>
    <x v="106"/>
    <x v="391"/>
    <x v="0"/>
  </r>
  <r>
    <x v="0"/>
    <x v="32"/>
    <x v="32"/>
    <x v="6"/>
    <x v="6"/>
    <x v="6"/>
    <x v="8"/>
    <x v="40"/>
    <x v="396"/>
    <x v="39"/>
    <x v="160"/>
    <x v="84"/>
    <x v="392"/>
    <x v="4"/>
  </r>
  <r>
    <x v="0"/>
    <x v="32"/>
    <x v="32"/>
    <x v="9"/>
    <x v="9"/>
    <x v="9"/>
    <x v="9"/>
    <x v="83"/>
    <x v="397"/>
    <x v="179"/>
    <x v="438"/>
    <x v="53"/>
    <x v="178"/>
    <x v="4"/>
  </r>
  <r>
    <x v="0"/>
    <x v="32"/>
    <x v="32"/>
    <x v="14"/>
    <x v="14"/>
    <x v="14"/>
    <x v="10"/>
    <x v="247"/>
    <x v="10"/>
    <x v="105"/>
    <x v="94"/>
    <x v="69"/>
    <x v="145"/>
    <x v="4"/>
  </r>
  <r>
    <x v="0"/>
    <x v="32"/>
    <x v="32"/>
    <x v="11"/>
    <x v="11"/>
    <x v="11"/>
    <x v="10"/>
    <x v="247"/>
    <x v="10"/>
    <x v="162"/>
    <x v="324"/>
    <x v="132"/>
    <x v="393"/>
    <x v="4"/>
  </r>
  <r>
    <x v="0"/>
    <x v="32"/>
    <x v="32"/>
    <x v="23"/>
    <x v="23"/>
    <x v="23"/>
    <x v="12"/>
    <x v="201"/>
    <x v="342"/>
    <x v="50"/>
    <x v="62"/>
    <x v="145"/>
    <x v="317"/>
    <x v="4"/>
  </r>
  <r>
    <x v="0"/>
    <x v="32"/>
    <x v="32"/>
    <x v="13"/>
    <x v="13"/>
    <x v="13"/>
    <x v="12"/>
    <x v="201"/>
    <x v="342"/>
    <x v="103"/>
    <x v="14"/>
    <x v="91"/>
    <x v="261"/>
    <x v="4"/>
  </r>
  <r>
    <x v="0"/>
    <x v="32"/>
    <x v="32"/>
    <x v="10"/>
    <x v="10"/>
    <x v="10"/>
    <x v="14"/>
    <x v="109"/>
    <x v="398"/>
    <x v="104"/>
    <x v="439"/>
    <x v="129"/>
    <x v="394"/>
    <x v="4"/>
  </r>
  <r>
    <x v="0"/>
    <x v="32"/>
    <x v="32"/>
    <x v="12"/>
    <x v="12"/>
    <x v="12"/>
    <x v="15"/>
    <x v="89"/>
    <x v="68"/>
    <x v="49"/>
    <x v="248"/>
    <x v="102"/>
    <x v="192"/>
    <x v="4"/>
  </r>
  <r>
    <x v="0"/>
    <x v="32"/>
    <x v="32"/>
    <x v="20"/>
    <x v="20"/>
    <x v="20"/>
    <x v="16"/>
    <x v="47"/>
    <x v="150"/>
    <x v="47"/>
    <x v="47"/>
    <x v="176"/>
    <x v="35"/>
    <x v="4"/>
  </r>
  <r>
    <x v="0"/>
    <x v="32"/>
    <x v="32"/>
    <x v="18"/>
    <x v="18"/>
    <x v="18"/>
    <x v="17"/>
    <x v="101"/>
    <x v="124"/>
    <x v="100"/>
    <x v="117"/>
    <x v="90"/>
    <x v="163"/>
    <x v="4"/>
  </r>
  <r>
    <x v="0"/>
    <x v="32"/>
    <x v="32"/>
    <x v="16"/>
    <x v="16"/>
    <x v="16"/>
    <x v="18"/>
    <x v="70"/>
    <x v="343"/>
    <x v="37"/>
    <x v="440"/>
    <x v="48"/>
    <x v="90"/>
    <x v="4"/>
  </r>
  <r>
    <x v="0"/>
    <x v="32"/>
    <x v="32"/>
    <x v="19"/>
    <x v="19"/>
    <x v="19"/>
    <x v="19"/>
    <x v="102"/>
    <x v="399"/>
    <x v="50"/>
    <x v="62"/>
    <x v="89"/>
    <x v="179"/>
    <x v="4"/>
  </r>
  <r>
    <x v="0"/>
    <x v="33"/>
    <x v="33"/>
    <x v="2"/>
    <x v="2"/>
    <x v="2"/>
    <x v="0"/>
    <x v="281"/>
    <x v="400"/>
    <x v="100"/>
    <x v="441"/>
    <x v="205"/>
    <x v="395"/>
    <x v="4"/>
  </r>
  <r>
    <x v="0"/>
    <x v="33"/>
    <x v="33"/>
    <x v="1"/>
    <x v="1"/>
    <x v="1"/>
    <x v="1"/>
    <x v="275"/>
    <x v="401"/>
    <x v="196"/>
    <x v="442"/>
    <x v="102"/>
    <x v="252"/>
    <x v="4"/>
  </r>
  <r>
    <x v="0"/>
    <x v="33"/>
    <x v="33"/>
    <x v="3"/>
    <x v="3"/>
    <x v="3"/>
    <x v="2"/>
    <x v="282"/>
    <x v="402"/>
    <x v="140"/>
    <x v="443"/>
    <x v="159"/>
    <x v="396"/>
    <x v="4"/>
  </r>
  <r>
    <x v="0"/>
    <x v="33"/>
    <x v="33"/>
    <x v="0"/>
    <x v="0"/>
    <x v="0"/>
    <x v="3"/>
    <x v="163"/>
    <x v="403"/>
    <x v="194"/>
    <x v="444"/>
    <x v="89"/>
    <x v="85"/>
    <x v="4"/>
  </r>
  <r>
    <x v="0"/>
    <x v="33"/>
    <x v="33"/>
    <x v="4"/>
    <x v="4"/>
    <x v="4"/>
    <x v="4"/>
    <x v="134"/>
    <x v="404"/>
    <x v="67"/>
    <x v="230"/>
    <x v="94"/>
    <x v="397"/>
    <x v="4"/>
  </r>
  <r>
    <x v="0"/>
    <x v="33"/>
    <x v="33"/>
    <x v="6"/>
    <x v="6"/>
    <x v="6"/>
    <x v="5"/>
    <x v="166"/>
    <x v="405"/>
    <x v="48"/>
    <x v="312"/>
    <x v="120"/>
    <x v="398"/>
    <x v="4"/>
  </r>
  <r>
    <x v="0"/>
    <x v="33"/>
    <x v="33"/>
    <x v="7"/>
    <x v="7"/>
    <x v="7"/>
    <x v="6"/>
    <x v="43"/>
    <x v="27"/>
    <x v="149"/>
    <x v="445"/>
    <x v="110"/>
    <x v="324"/>
    <x v="4"/>
  </r>
  <r>
    <x v="0"/>
    <x v="33"/>
    <x v="33"/>
    <x v="9"/>
    <x v="9"/>
    <x v="9"/>
    <x v="7"/>
    <x v="44"/>
    <x v="406"/>
    <x v="147"/>
    <x v="446"/>
    <x v="51"/>
    <x v="185"/>
    <x v="4"/>
  </r>
  <r>
    <x v="0"/>
    <x v="33"/>
    <x v="33"/>
    <x v="5"/>
    <x v="5"/>
    <x v="5"/>
    <x v="8"/>
    <x v="87"/>
    <x v="407"/>
    <x v="46"/>
    <x v="447"/>
    <x v="176"/>
    <x v="399"/>
    <x v="4"/>
  </r>
  <r>
    <x v="0"/>
    <x v="33"/>
    <x v="33"/>
    <x v="8"/>
    <x v="8"/>
    <x v="8"/>
    <x v="9"/>
    <x v="108"/>
    <x v="231"/>
    <x v="102"/>
    <x v="321"/>
    <x v="110"/>
    <x v="324"/>
    <x v="4"/>
  </r>
  <r>
    <x v="0"/>
    <x v="33"/>
    <x v="33"/>
    <x v="10"/>
    <x v="10"/>
    <x v="10"/>
    <x v="10"/>
    <x v="45"/>
    <x v="159"/>
    <x v="140"/>
    <x v="443"/>
    <x v="104"/>
    <x v="400"/>
    <x v="4"/>
  </r>
  <r>
    <x v="0"/>
    <x v="33"/>
    <x v="33"/>
    <x v="12"/>
    <x v="12"/>
    <x v="12"/>
    <x v="11"/>
    <x v="69"/>
    <x v="186"/>
    <x v="34"/>
    <x v="232"/>
    <x v="65"/>
    <x v="383"/>
    <x v="4"/>
  </r>
  <r>
    <x v="0"/>
    <x v="33"/>
    <x v="33"/>
    <x v="15"/>
    <x v="15"/>
    <x v="15"/>
    <x v="12"/>
    <x v="102"/>
    <x v="408"/>
    <x v="51"/>
    <x v="261"/>
    <x v="90"/>
    <x v="401"/>
    <x v="4"/>
  </r>
  <r>
    <x v="0"/>
    <x v="33"/>
    <x v="33"/>
    <x v="20"/>
    <x v="20"/>
    <x v="20"/>
    <x v="13"/>
    <x v="103"/>
    <x v="99"/>
    <x v="51"/>
    <x v="261"/>
    <x v="89"/>
    <x v="85"/>
    <x v="4"/>
  </r>
  <r>
    <x v="0"/>
    <x v="33"/>
    <x v="33"/>
    <x v="19"/>
    <x v="19"/>
    <x v="19"/>
    <x v="14"/>
    <x v="145"/>
    <x v="150"/>
    <x v="33"/>
    <x v="448"/>
    <x v="129"/>
    <x v="114"/>
    <x v="4"/>
  </r>
  <r>
    <x v="0"/>
    <x v="33"/>
    <x v="33"/>
    <x v="11"/>
    <x v="11"/>
    <x v="11"/>
    <x v="15"/>
    <x v="49"/>
    <x v="85"/>
    <x v="49"/>
    <x v="79"/>
    <x v="73"/>
    <x v="50"/>
    <x v="4"/>
  </r>
  <r>
    <x v="0"/>
    <x v="33"/>
    <x v="33"/>
    <x v="34"/>
    <x v="34"/>
    <x v="34"/>
    <x v="16"/>
    <x v="51"/>
    <x v="54"/>
    <x v="100"/>
    <x v="441"/>
    <x v="93"/>
    <x v="402"/>
    <x v="4"/>
  </r>
  <r>
    <x v="0"/>
    <x v="33"/>
    <x v="33"/>
    <x v="17"/>
    <x v="17"/>
    <x v="17"/>
    <x v="17"/>
    <x v="52"/>
    <x v="225"/>
    <x v="38"/>
    <x v="421"/>
    <x v="51"/>
    <x v="185"/>
    <x v="4"/>
  </r>
  <r>
    <x v="0"/>
    <x v="33"/>
    <x v="33"/>
    <x v="23"/>
    <x v="23"/>
    <x v="23"/>
    <x v="18"/>
    <x v="111"/>
    <x v="312"/>
    <x v="100"/>
    <x v="441"/>
    <x v="108"/>
    <x v="403"/>
    <x v="4"/>
  </r>
  <r>
    <x v="0"/>
    <x v="33"/>
    <x v="33"/>
    <x v="18"/>
    <x v="18"/>
    <x v="18"/>
    <x v="18"/>
    <x v="111"/>
    <x v="312"/>
    <x v="41"/>
    <x v="449"/>
    <x v="72"/>
    <x v="282"/>
    <x v="4"/>
  </r>
  <r>
    <x v="0"/>
    <x v="33"/>
    <x v="33"/>
    <x v="16"/>
    <x v="16"/>
    <x v="16"/>
    <x v="18"/>
    <x v="111"/>
    <x v="312"/>
    <x v="41"/>
    <x v="449"/>
    <x v="72"/>
    <x v="282"/>
    <x v="4"/>
  </r>
  <r>
    <x v="0"/>
    <x v="33"/>
    <x v="33"/>
    <x v="22"/>
    <x v="22"/>
    <x v="22"/>
    <x v="18"/>
    <x v="111"/>
    <x v="312"/>
    <x v="33"/>
    <x v="448"/>
    <x v="72"/>
    <x v="282"/>
    <x v="0"/>
  </r>
  <r>
    <x v="0"/>
    <x v="34"/>
    <x v="34"/>
    <x v="2"/>
    <x v="2"/>
    <x v="2"/>
    <x v="0"/>
    <x v="125"/>
    <x v="409"/>
    <x v="133"/>
    <x v="450"/>
    <x v="59"/>
    <x v="404"/>
    <x v="4"/>
  </r>
  <r>
    <x v="0"/>
    <x v="34"/>
    <x v="34"/>
    <x v="0"/>
    <x v="0"/>
    <x v="0"/>
    <x v="1"/>
    <x v="136"/>
    <x v="410"/>
    <x v="197"/>
    <x v="451"/>
    <x v="108"/>
    <x v="1"/>
    <x v="4"/>
  </r>
  <r>
    <x v="0"/>
    <x v="34"/>
    <x v="34"/>
    <x v="3"/>
    <x v="3"/>
    <x v="3"/>
    <x v="2"/>
    <x v="283"/>
    <x v="152"/>
    <x v="39"/>
    <x v="344"/>
    <x v="64"/>
    <x v="405"/>
    <x v="4"/>
  </r>
  <r>
    <x v="0"/>
    <x v="34"/>
    <x v="34"/>
    <x v="1"/>
    <x v="1"/>
    <x v="1"/>
    <x v="3"/>
    <x v="179"/>
    <x v="411"/>
    <x v="108"/>
    <x v="452"/>
    <x v="43"/>
    <x v="406"/>
    <x v="4"/>
  </r>
  <r>
    <x v="0"/>
    <x v="34"/>
    <x v="34"/>
    <x v="5"/>
    <x v="5"/>
    <x v="5"/>
    <x v="4"/>
    <x v="284"/>
    <x v="412"/>
    <x v="140"/>
    <x v="453"/>
    <x v="100"/>
    <x v="407"/>
    <x v="4"/>
  </r>
  <r>
    <x v="0"/>
    <x v="34"/>
    <x v="34"/>
    <x v="4"/>
    <x v="4"/>
    <x v="4"/>
    <x v="5"/>
    <x v="67"/>
    <x v="274"/>
    <x v="59"/>
    <x v="77"/>
    <x v="145"/>
    <x v="297"/>
    <x v="4"/>
  </r>
  <r>
    <x v="0"/>
    <x v="34"/>
    <x v="34"/>
    <x v="10"/>
    <x v="10"/>
    <x v="10"/>
    <x v="6"/>
    <x v="254"/>
    <x v="413"/>
    <x v="89"/>
    <x v="367"/>
    <x v="50"/>
    <x v="264"/>
    <x v="4"/>
  </r>
  <r>
    <x v="0"/>
    <x v="34"/>
    <x v="34"/>
    <x v="8"/>
    <x v="8"/>
    <x v="8"/>
    <x v="7"/>
    <x v="69"/>
    <x v="414"/>
    <x v="42"/>
    <x v="454"/>
    <x v="48"/>
    <x v="68"/>
    <x v="4"/>
  </r>
  <r>
    <x v="0"/>
    <x v="34"/>
    <x v="34"/>
    <x v="9"/>
    <x v="9"/>
    <x v="9"/>
    <x v="8"/>
    <x v="90"/>
    <x v="415"/>
    <x v="142"/>
    <x v="455"/>
    <x v="177"/>
    <x v="408"/>
    <x v="4"/>
  </r>
  <r>
    <x v="0"/>
    <x v="34"/>
    <x v="34"/>
    <x v="6"/>
    <x v="6"/>
    <x v="6"/>
    <x v="9"/>
    <x v="241"/>
    <x v="194"/>
    <x v="59"/>
    <x v="77"/>
    <x v="61"/>
    <x v="409"/>
    <x v="4"/>
  </r>
  <r>
    <x v="0"/>
    <x v="34"/>
    <x v="34"/>
    <x v="7"/>
    <x v="7"/>
    <x v="7"/>
    <x v="10"/>
    <x v="48"/>
    <x v="416"/>
    <x v="46"/>
    <x v="456"/>
    <x v="112"/>
    <x v="410"/>
    <x v="4"/>
  </r>
  <r>
    <x v="0"/>
    <x v="34"/>
    <x v="34"/>
    <x v="14"/>
    <x v="14"/>
    <x v="14"/>
    <x v="11"/>
    <x v="50"/>
    <x v="110"/>
    <x v="50"/>
    <x v="12"/>
    <x v="93"/>
    <x v="277"/>
    <x v="4"/>
  </r>
  <r>
    <x v="0"/>
    <x v="34"/>
    <x v="34"/>
    <x v="11"/>
    <x v="11"/>
    <x v="11"/>
    <x v="12"/>
    <x v="111"/>
    <x v="417"/>
    <x v="96"/>
    <x v="373"/>
    <x v="55"/>
    <x v="411"/>
    <x v="4"/>
  </r>
  <r>
    <x v="0"/>
    <x v="34"/>
    <x v="34"/>
    <x v="15"/>
    <x v="15"/>
    <x v="15"/>
    <x v="13"/>
    <x v="113"/>
    <x v="210"/>
    <x v="59"/>
    <x v="77"/>
    <x v="108"/>
    <x v="1"/>
    <x v="4"/>
  </r>
  <r>
    <x v="0"/>
    <x v="34"/>
    <x v="34"/>
    <x v="34"/>
    <x v="34"/>
    <x v="34"/>
    <x v="14"/>
    <x v="54"/>
    <x v="84"/>
    <x v="51"/>
    <x v="203"/>
    <x v="53"/>
    <x v="64"/>
    <x v="4"/>
  </r>
  <r>
    <x v="0"/>
    <x v="34"/>
    <x v="34"/>
    <x v="13"/>
    <x v="13"/>
    <x v="13"/>
    <x v="15"/>
    <x v="55"/>
    <x v="112"/>
    <x v="100"/>
    <x v="346"/>
    <x v="51"/>
    <x v="231"/>
    <x v="4"/>
  </r>
  <r>
    <x v="0"/>
    <x v="34"/>
    <x v="34"/>
    <x v="16"/>
    <x v="16"/>
    <x v="16"/>
    <x v="15"/>
    <x v="55"/>
    <x v="112"/>
    <x v="100"/>
    <x v="346"/>
    <x v="51"/>
    <x v="231"/>
    <x v="4"/>
  </r>
  <r>
    <x v="0"/>
    <x v="34"/>
    <x v="34"/>
    <x v="17"/>
    <x v="17"/>
    <x v="17"/>
    <x v="17"/>
    <x v="285"/>
    <x v="354"/>
    <x v="68"/>
    <x v="457"/>
    <x v="46"/>
    <x v="178"/>
    <x v="4"/>
  </r>
  <r>
    <x v="0"/>
    <x v="34"/>
    <x v="34"/>
    <x v="12"/>
    <x v="12"/>
    <x v="12"/>
    <x v="18"/>
    <x v="286"/>
    <x v="225"/>
    <x v="41"/>
    <x v="458"/>
    <x v="112"/>
    <x v="410"/>
    <x v="4"/>
  </r>
  <r>
    <x v="0"/>
    <x v="34"/>
    <x v="34"/>
    <x v="28"/>
    <x v="28"/>
    <x v="28"/>
    <x v="18"/>
    <x v="286"/>
    <x v="225"/>
    <x v="51"/>
    <x v="203"/>
    <x v="114"/>
    <x v="412"/>
    <x v="4"/>
  </r>
  <r>
    <x v="0"/>
    <x v="34"/>
    <x v="34"/>
    <x v="19"/>
    <x v="19"/>
    <x v="19"/>
    <x v="18"/>
    <x v="286"/>
    <x v="225"/>
    <x v="47"/>
    <x v="47"/>
    <x v="74"/>
    <x v="253"/>
    <x v="4"/>
  </r>
  <r>
    <x v="0"/>
    <x v="34"/>
    <x v="34"/>
    <x v="20"/>
    <x v="20"/>
    <x v="20"/>
    <x v="18"/>
    <x v="286"/>
    <x v="225"/>
    <x v="51"/>
    <x v="203"/>
    <x v="114"/>
    <x v="412"/>
    <x v="4"/>
  </r>
  <r>
    <x v="0"/>
    <x v="35"/>
    <x v="35"/>
    <x v="2"/>
    <x v="2"/>
    <x v="2"/>
    <x v="0"/>
    <x v="262"/>
    <x v="418"/>
    <x v="100"/>
    <x v="459"/>
    <x v="188"/>
    <x v="413"/>
    <x v="0"/>
  </r>
  <r>
    <x v="0"/>
    <x v="35"/>
    <x v="35"/>
    <x v="3"/>
    <x v="3"/>
    <x v="3"/>
    <x v="1"/>
    <x v="137"/>
    <x v="419"/>
    <x v="37"/>
    <x v="460"/>
    <x v="139"/>
    <x v="414"/>
    <x v="4"/>
  </r>
  <r>
    <x v="0"/>
    <x v="35"/>
    <x v="35"/>
    <x v="0"/>
    <x v="0"/>
    <x v="0"/>
    <x v="2"/>
    <x v="203"/>
    <x v="130"/>
    <x v="102"/>
    <x v="461"/>
    <x v="73"/>
    <x v="88"/>
    <x v="4"/>
  </r>
  <r>
    <x v="0"/>
    <x v="35"/>
    <x v="35"/>
    <x v="6"/>
    <x v="6"/>
    <x v="6"/>
    <x v="3"/>
    <x v="223"/>
    <x v="420"/>
    <x v="50"/>
    <x v="462"/>
    <x v="70"/>
    <x v="415"/>
    <x v="4"/>
  </r>
  <r>
    <x v="0"/>
    <x v="35"/>
    <x v="35"/>
    <x v="1"/>
    <x v="1"/>
    <x v="1"/>
    <x v="4"/>
    <x v="110"/>
    <x v="421"/>
    <x v="80"/>
    <x v="463"/>
    <x v="52"/>
    <x v="130"/>
    <x v="4"/>
  </r>
  <r>
    <x v="0"/>
    <x v="35"/>
    <x v="35"/>
    <x v="4"/>
    <x v="4"/>
    <x v="4"/>
    <x v="5"/>
    <x v="153"/>
    <x v="395"/>
    <x v="49"/>
    <x v="464"/>
    <x v="88"/>
    <x v="416"/>
    <x v="4"/>
  </r>
  <r>
    <x v="0"/>
    <x v="35"/>
    <x v="35"/>
    <x v="10"/>
    <x v="10"/>
    <x v="10"/>
    <x v="6"/>
    <x v="69"/>
    <x v="422"/>
    <x v="37"/>
    <x v="460"/>
    <x v="89"/>
    <x v="417"/>
    <x v="0"/>
  </r>
  <r>
    <x v="0"/>
    <x v="35"/>
    <x v="35"/>
    <x v="7"/>
    <x v="7"/>
    <x v="7"/>
    <x v="7"/>
    <x v="102"/>
    <x v="155"/>
    <x v="77"/>
    <x v="465"/>
    <x v="43"/>
    <x v="313"/>
    <x v="4"/>
  </r>
  <r>
    <x v="0"/>
    <x v="35"/>
    <x v="35"/>
    <x v="8"/>
    <x v="8"/>
    <x v="8"/>
    <x v="8"/>
    <x v="221"/>
    <x v="156"/>
    <x v="58"/>
    <x v="466"/>
    <x v="52"/>
    <x v="130"/>
    <x v="4"/>
  </r>
  <r>
    <x v="0"/>
    <x v="35"/>
    <x v="35"/>
    <x v="5"/>
    <x v="5"/>
    <x v="5"/>
    <x v="9"/>
    <x v="103"/>
    <x v="416"/>
    <x v="45"/>
    <x v="467"/>
    <x v="53"/>
    <x v="30"/>
    <x v="4"/>
  </r>
  <r>
    <x v="0"/>
    <x v="35"/>
    <x v="35"/>
    <x v="13"/>
    <x v="13"/>
    <x v="13"/>
    <x v="10"/>
    <x v="146"/>
    <x v="423"/>
    <x v="50"/>
    <x v="462"/>
    <x v="73"/>
    <x v="88"/>
    <x v="4"/>
  </r>
  <r>
    <x v="0"/>
    <x v="35"/>
    <x v="35"/>
    <x v="11"/>
    <x v="11"/>
    <x v="11"/>
    <x v="11"/>
    <x v="51"/>
    <x v="147"/>
    <x v="50"/>
    <x v="462"/>
    <x v="72"/>
    <x v="418"/>
    <x v="4"/>
  </r>
  <r>
    <x v="0"/>
    <x v="35"/>
    <x v="35"/>
    <x v="9"/>
    <x v="9"/>
    <x v="9"/>
    <x v="11"/>
    <x v="51"/>
    <x v="147"/>
    <x v="39"/>
    <x v="468"/>
    <x v="128"/>
    <x v="17"/>
    <x v="4"/>
  </r>
  <r>
    <x v="0"/>
    <x v="35"/>
    <x v="35"/>
    <x v="26"/>
    <x v="26"/>
    <x v="26"/>
    <x v="13"/>
    <x v="119"/>
    <x v="424"/>
    <x v="47"/>
    <x v="47"/>
    <x v="110"/>
    <x v="68"/>
    <x v="4"/>
  </r>
  <r>
    <x v="0"/>
    <x v="35"/>
    <x v="35"/>
    <x v="12"/>
    <x v="12"/>
    <x v="12"/>
    <x v="14"/>
    <x v="285"/>
    <x v="197"/>
    <x v="68"/>
    <x v="469"/>
    <x v="46"/>
    <x v="419"/>
    <x v="4"/>
  </r>
  <r>
    <x v="0"/>
    <x v="35"/>
    <x v="35"/>
    <x v="18"/>
    <x v="18"/>
    <x v="18"/>
    <x v="15"/>
    <x v="56"/>
    <x v="124"/>
    <x v="59"/>
    <x v="470"/>
    <x v="51"/>
    <x v="310"/>
    <x v="4"/>
  </r>
  <r>
    <x v="0"/>
    <x v="35"/>
    <x v="35"/>
    <x v="25"/>
    <x v="25"/>
    <x v="25"/>
    <x v="16"/>
    <x v="287"/>
    <x v="425"/>
    <x v="47"/>
    <x v="47"/>
    <x v="51"/>
    <x v="310"/>
    <x v="4"/>
  </r>
  <r>
    <x v="0"/>
    <x v="35"/>
    <x v="35"/>
    <x v="17"/>
    <x v="17"/>
    <x v="17"/>
    <x v="16"/>
    <x v="287"/>
    <x v="425"/>
    <x v="41"/>
    <x v="358"/>
    <x v="46"/>
    <x v="419"/>
    <x v="4"/>
  </r>
  <r>
    <x v="0"/>
    <x v="35"/>
    <x v="35"/>
    <x v="19"/>
    <x v="19"/>
    <x v="19"/>
    <x v="18"/>
    <x v="288"/>
    <x v="426"/>
    <x v="33"/>
    <x v="314"/>
    <x v="46"/>
    <x v="419"/>
    <x v="4"/>
  </r>
  <r>
    <x v="0"/>
    <x v="35"/>
    <x v="35"/>
    <x v="21"/>
    <x v="21"/>
    <x v="21"/>
    <x v="18"/>
    <x v="288"/>
    <x v="426"/>
    <x v="51"/>
    <x v="471"/>
    <x v="62"/>
    <x v="120"/>
    <x v="4"/>
  </r>
  <r>
    <x v="0"/>
    <x v="35"/>
    <x v="35"/>
    <x v="16"/>
    <x v="16"/>
    <x v="16"/>
    <x v="18"/>
    <x v="288"/>
    <x v="426"/>
    <x v="100"/>
    <x v="459"/>
    <x v="47"/>
    <x v="420"/>
    <x v="0"/>
  </r>
  <r>
    <x v="0"/>
    <x v="36"/>
    <x v="36"/>
    <x v="3"/>
    <x v="3"/>
    <x v="3"/>
    <x v="0"/>
    <x v="289"/>
    <x v="427"/>
    <x v="119"/>
    <x v="211"/>
    <x v="206"/>
    <x v="421"/>
    <x v="4"/>
  </r>
  <r>
    <x v="0"/>
    <x v="36"/>
    <x v="36"/>
    <x v="2"/>
    <x v="2"/>
    <x v="2"/>
    <x v="1"/>
    <x v="222"/>
    <x v="402"/>
    <x v="80"/>
    <x v="228"/>
    <x v="207"/>
    <x v="422"/>
    <x v="4"/>
  </r>
  <r>
    <x v="0"/>
    <x v="36"/>
    <x v="36"/>
    <x v="0"/>
    <x v="0"/>
    <x v="0"/>
    <x v="2"/>
    <x v="290"/>
    <x v="428"/>
    <x v="198"/>
    <x v="472"/>
    <x v="105"/>
    <x v="193"/>
    <x v="4"/>
  </r>
  <r>
    <x v="0"/>
    <x v="36"/>
    <x v="36"/>
    <x v="4"/>
    <x v="4"/>
    <x v="4"/>
    <x v="3"/>
    <x v="291"/>
    <x v="429"/>
    <x v="31"/>
    <x v="473"/>
    <x v="207"/>
    <x v="422"/>
    <x v="4"/>
  </r>
  <r>
    <x v="0"/>
    <x v="36"/>
    <x v="36"/>
    <x v="6"/>
    <x v="6"/>
    <x v="6"/>
    <x v="4"/>
    <x v="175"/>
    <x v="430"/>
    <x v="77"/>
    <x v="474"/>
    <x v="208"/>
    <x v="423"/>
    <x v="4"/>
  </r>
  <r>
    <x v="0"/>
    <x v="36"/>
    <x v="36"/>
    <x v="1"/>
    <x v="1"/>
    <x v="1"/>
    <x v="5"/>
    <x v="252"/>
    <x v="431"/>
    <x v="199"/>
    <x v="475"/>
    <x v="102"/>
    <x v="153"/>
    <x v="4"/>
  </r>
  <r>
    <x v="0"/>
    <x v="36"/>
    <x v="36"/>
    <x v="5"/>
    <x v="5"/>
    <x v="5"/>
    <x v="6"/>
    <x v="81"/>
    <x v="245"/>
    <x v="178"/>
    <x v="476"/>
    <x v="81"/>
    <x v="424"/>
    <x v="4"/>
  </r>
  <r>
    <x v="0"/>
    <x v="36"/>
    <x v="36"/>
    <x v="7"/>
    <x v="7"/>
    <x v="7"/>
    <x v="7"/>
    <x v="263"/>
    <x v="432"/>
    <x v="163"/>
    <x v="257"/>
    <x v="90"/>
    <x v="99"/>
    <x v="4"/>
  </r>
  <r>
    <x v="0"/>
    <x v="36"/>
    <x v="36"/>
    <x v="9"/>
    <x v="9"/>
    <x v="9"/>
    <x v="8"/>
    <x v="117"/>
    <x v="433"/>
    <x v="146"/>
    <x v="477"/>
    <x v="114"/>
    <x v="47"/>
    <x v="4"/>
  </r>
  <r>
    <x v="0"/>
    <x v="36"/>
    <x v="36"/>
    <x v="8"/>
    <x v="8"/>
    <x v="8"/>
    <x v="9"/>
    <x v="43"/>
    <x v="331"/>
    <x v="178"/>
    <x v="476"/>
    <x v="48"/>
    <x v="124"/>
    <x v="4"/>
  </r>
  <r>
    <x v="0"/>
    <x v="36"/>
    <x v="36"/>
    <x v="11"/>
    <x v="11"/>
    <x v="11"/>
    <x v="10"/>
    <x v="86"/>
    <x v="434"/>
    <x v="128"/>
    <x v="478"/>
    <x v="68"/>
    <x v="425"/>
    <x v="4"/>
  </r>
  <r>
    <x v="0"/>
    <x v="36"/>
    <x v="36"/>
    <x v="10"/>
    <x v="10"/>
    <x v="10"/>
    <x v="11"/>
    <x v="240"/>
    <x v="435"/>
    <x v="128"/>
    <x v="478"/>
    <x v="98"/>
    <x v="406"/>
    <x v="4"/>
  </r>
  <r>
    <x v="0"/>
    <x v="36"/>
    <x v="36"/>
    <x v="13"/>
    <x v="13"/>
    <x v="13"/>
    <x v="12"/>
    <x v="254"/>
    <x v="162"/>
    <x v="60"/>
    <x v="479"/>
    <x v="100"/>
    <x v="400"/>
    <x v="4"/>
  </r>
  <r>
    <x v="0"/>
    <x v="36"/>
    <x v="36"/>
    <x v="12"/>
    <x v="12"/>
    <x v="12"/>
    <x v="13"/>
    <x v="68"/>
    <x v="436"/>
    <x v="38"/>
    <x v="57"/>
    <x v="98"/>
    <x v="406"/>
    <x v="4"/>
  </r>
  <r>
    <x v="0"/>
    <x v="36"/>
    <x v="36"/>
    <x v="15"/>
    <x v="15"/>
    <x v="15"/>
    <x v="14"/>
    <x v="69"/>
    <x v="437"/>
    <x v="41"/>
    <x v="95"/>
    <x v="68"/>
    <x v="425"/>
    <x v="4"/>
  </r>
  <r>
    <x v="0"/>
    <x v="36"/>
    <x v="36"/>
    <x v="18"/>
    <x v="18"/>
    <x v="18"/>
    <x v="15"/>
    <x v="47"/>
    <x v="302"/>
    <x v="100"/>
    <x v="377"/>
    <x v="102"/>
    <x v="153"/>
    <x v="4"/>
  </r>
  <r>
    <x v="0"/>
    <x v="36"/>
    <x v="36"/>
    <x v="16"/>
    <x v="16"/>
    <x v="16"/>
    <x v="16"/>
    <x v="102"/>
    <x v="19"/>
    <x v="38"/>
    <x v="57"/>
    <x v="110"/>
    <x v="426"/>
    <x v="4"/>
  </r>
  <r>
    <x v="0"/>
    <x v="36"/>
    <x v="36"/>
    <x v="34"/>
    <x v="34"/>
    <x v="34"/>
    <x v="17"/>
    <x v="71"/>
    <x v="399"/>
    <x v="68"/>
    <x v="480"/>
    <x v="129"/>
    <x v="410"/>
    <x v="4"/>
  </r>
  <r>
    <x v="0"/>
    <x v="36"/>
    <x v="36"/>
    <x v="28"/>
    <x v="28"/>
    <x v="28"/>
    <x v="17"/>
    <x v="71"/>
    <x v="399"/>
    <x v="41"/>
    <x v="95"/>
    <x v="66"/>
    <x v="427"/>
    <x v="4"/>
  </r>
  <r>
    <x v="0"/>
    <x v="36"/>
    <x v="36"/>
    <x v="19"/>
    <x v="19"/>
    <x v="19"/>
    <x v="19"/>
    <x v="221"/>
    <x v="225"/>
    <x v="33"/>
    <x v="93"/>
    <x v="66"/>
    <x v="427"/>
    <x v="4"/>
  </r>
  <r>
    <x v="0"/>
    <x v="36"/>
    <x v="36"/>
    <x v="14"/>
    <x v="14"/>
    <x v="14"/>
    <x v="19"/>
    <x v="221"/>
    <x v="225"/>
    <x v="45"/>
    <x v="481"/>
    <x v="108"/>
    <x v="351"/>
    <x v="4"/>
  </r>
  <r>
    <x v="0"/>
    <x v="37"/>
    <x v="37"/>
    <x v="0"/>
    <x v="0"/>
    <x v="0"/>
    <x v="0"/>
    <x v="231"/>
    <x v="438"/>
    <x v="200"/>
    <x v="482"/>
    <x v="129"/>
    <x v="428"/>
    <x v="4"/>
  </r>
  <r>
    <x v="0"/>
    <x v="37"/>
    <x v="37"/>
    <x v="2"/>
    <x v="2"/>
    <x v="2"/>
    <x v="1"/>
    <x v="237"/>
    <x v="439"/>
    <x v="80"/>
    <x v="483"/>
    <x v="189"/>
    <x v="429"/>
    <x v="4"/>
  </r>
  <r>
    <x v="0"/>
    <x v="37"/>
    <x v="37"/>
    <x v="1"/>
    <x v="1"/>
    <x v="1"/>
    <x v="2"/>
    <x v="137"/>
    <x v="440"/>
    <x v="201"/>
    <x v="484"/>
    <x v="53"/>
    <x v="401"/>
    <x v="4"/>
  </r>
  <r>
    <x v="0"/>
    <x v="37"/>
    <x v="37"/>
    <x v="7"/>
    <x v="7"/>
    <x v="7"/>
    <x v="3"/>
    <x v="179"/>
    <x v="441"/>
    <x v="76"/>
    <x v="468"/>
    <x v="50"/>
    <x v="372"/>
    <x v="0"/>
  </r>
  <r>
    <x v="0"/>
    <x v="37"/>
    <x v="37"/>
    <x v="3"/>
    <x v="3"/>
    <x v="3"/>
    <x v="4"/>
    <x v="143"/>
    <x v="3"/>
    <x v="65"/>
    <x v="485"/>
    <x v="132"/>
    <x v="110"/>
    <x v="4"/>
  </r>
  <r>
    <x v="0"/>
    <x v="37"/>
    <x v="37"/>
    <x v="5"/>
    <x v="5"/>
    <x v="5"/>
    <x v="5"/>
    <x v="180"/>
    <x v="140"/>
    <x v="140"/>
    <x v="154"/>
    <x v="71"/>
    <x v="384"/>
    <x v="4"/>
  </r>
  <r>
    <x v="0"/>
    <x v="37"/>
    <x v="37"/>
    <x v="4"/>
    <x v="4"/>
    <x v="4"/>
    <x v="6"/>
    <x v="108"/>
    <x v="442"/>
    <x v="38"/>
    <x v="227"/>
    <x v="126"/>
    <x v="367"/>
    <x v="4"/>
  </r>
  <r>
    <x v="0"/>
    <x v="37"/>
    <x v="37"/>
    <x v="6"/>
    <x v="6"/>
    <x v="6"/>
    <x v="7"/>
    <x v="68"/>
    <x v="27"/>
    <x v="37"/>
    <x v="486"/>
    <x v="102"/>
    <x v="376"/>
    <x v="4"/>
  </r>
  <r>
    <x v="0"/>
    <x v="37"/>
    <x v="37"/>
    <x v="11"/>
    <x v="11"/>
    <x v="11"/>
    <x v="8"/>
    <x v="45"/>
    <x v="28"/>
    <x v="89"/>
    <x v="487"/>
    <x v="48"/>
    <x v="21"/>
    <x v="4"/>
  </r>
  <r>
    <x v="0"/>
    <x v="37"/>
    <x v="37"/>
    <x v="16"/>
    <x v="16"/>
    <x v="16"/>
    <x v="9"/>
    <x v="69"/>
    <x v="320"/>
    <x v="43"/>
    <x v="42"/>
    <x v="112"/>
    <x v="232"/>
    <x v="4"/>
  </r>
  <r>
    <x v="0"/>
    <x v="37"/>
    <x v="37"/>
    <x v="8"/>
    <x v="8"/>
    <x v="8"/>
    <x v="10"/>
    <x v="241"/>
    <x v="222"/>
    <x v="89"/>
    <x v="487"/>
    <x v="74"/>
    <x v="381"/>
    <x v="4"/>
  </r>
  <r>
    <x v="0"/>
    <x v="37"/>
    <x v="37"/>
    <x v="9"/>
    <x v="9"/>
    <x v="9"/>
    <x v="11"/>
    <x v="70"/>
    <x v="388"/>
    <x v="80"/>
    <x v="483"/>
    <x v="179"/>
    <x v="430"/>
    <x v="4"/>
  </r>
  <r>
    <x v="0"/>
    <x v="37"/>
    <x v="37"/>
    <x v="10"/>
    <x v="10"/>
    <x v="10"/>
    <x v="12"/>
    <x v="103"/>
    <x v="443"/>
    <x v="103"/>
    <x v="488"/>
    <x v="54"/>
    <x v="378"/>
    <x v="0"/>
  </r>
  <r>
    <x v="0"/>
    <x v="37"/>
    <x v="37"/>
    <x v="15"/>
    <x v="15"/>
    <x v="15"/>
    <x v="13"/>
    <x v="49"/>
    <x v="82"/>
    <x v="50"/>
    <x v="274"/>
    <x v="110"/>
    <x v="83"/>
    <x v="4"/>
  </r>
  <r>
    <x v="0"/>
    <x v="37"/>
    <x v="37"/>
    <x v="13"/>
    <x v="13"/>
    <x v="13"/>
    <x v="13"/>
    <x v="49"/>
    <x v="82"/>
    <x v="96"/>
    <x v="489"/>
    <x v="43"/>
    <x v="383"/>
    <x v="4"/>
  </r>
  <r>
    <x v="0"/>
    <x v="37"/>
    <x v="37"/>
    <x v="14"/>
    <x v="14"/>
    <x v="14"/>
    <x v="15"/>
    <x v="112"/>
    <x v="34"/>
    <x v="41"/>
    <x v="490"/>
    <x v="52"/>
    <x v="12"/>
    <x v="4"/>
  </r>
  <r>
    <x v="0"/>
    <x v="37"/>
    <x v="37"/>
    <x v="21"/>
    <x v="21"/>
    <x v="21"/>
    <x v="16"/>
    <x v="286"/>
    <x v="136"/>
    <x v="51"/>
    <x v="249"/>
    <x v="114"/>
    <x v="191"/>
    <x v="4"/>
  </r>
  <r>
    <x v="0"/>
    <x v="37"/>
    <x v="37"/>
    <x v="12"/>
    <x v="12"/>
    <x v="12"/>
    <x v="17"/>
    <x v="56"/>
    <x v="100"/>
    <x v="33"/>
    <x v="236"/>
    <x v="112"/>
    <x v="232"/>
    <x v="4"/>
  </r>
  <r>
    <x v="0"/>
    <x v="37"/>
    <x v="37"/>
    <x v="22"/>
    <x v="22"/>
    <x v="22"/>
    <x v="17"/>
    <x v="56"/>
    <x v="100"/>
    <x v="51"/>
    <x v="249"/>
    <x v="51"/>
    <x v="134"/>
    <x v="0"/>
  </r>
  <r>
    <x v="0"/>
    <x v="37"/>
    <x v="37"/>
    <x v="18"/>
    <x v="18"/>
    <x v="18"/>
    <x v="19"/>
    <x v="292"/>
    <x v="444"/>
    <x v="51"/>
    <x v="249"/>
    <x v="51"/>
    <x v="134"/>
    <x v="4"/>
  </r>
  <r>
    <x v="0"/>
    <x v="38"/>
    <x v="38"/>
    <x v="0"/>
    <x v="0"/>
    <x v="0"/>
    <x v="0"/>
    <x v="228"/>
    <x v="445"/>
    <x v="202"/>
    <x v="491"/>
    <x v="69"/>
    <x v="356"/>
    <x v="4"/>
  </r>
  <r>
    <x v="0"/>
    <x v="38"/>
    <x v="38"/>
    <x v="2"/>
    <x v="2"/>
    <x v="2"/>
    <x v="1"/>
    <x v="214"/>
    <x v="446"/>
    <x v="87"/>
    <x v="492"/>
    <x v="183"/>
    <x v="431"/>
    <x v="4"/>
  </r>
  <r>
    <x v="0"/>
    <x v="38"/>
    <x v="38"/>
    <x v="4"/>
    <x v="4"/>
    <x v="4"/>
    <x v="2"/>
    <x v="274"/>
    <x v="447"/>
    <x v="70"/>
    <x v="493"/>
    <x v="209"/>
    <x v="106"/>
    <x v="4"/>
  </r>
  <r>
    <x v="0"/>
    <x v="38"/>
    <x v="38"/>
    <x v="1"/>
    <x v="1"/>
    <x v="1"/>
    <x v="3"/>
    <x v="293"/>
    <x v="42"/>
    <x v="93"/>
    <x v="494"/>
    <x v="93"/>
    <x v="50"/>
    <x v="4"/>
  </r>
  <r>
    <x v="0"/>
    <x v="38"/>
    <x v="38"/>
    <x v="5"/>
    <x v="5"/>
    <x v="5"/>
    <x v="4"/>
    <x v="276"/>
    <x v="448"/>
    <x v="203"/>
    <x v="495"/>
    <x v="119"/>
    <x v="432"/>
    <x v="4"/>
  </r>
  <r>
    <x v="0"/>
    <x v="38"/>
    <x v="38"/>
    <x v="3"/>
    <x v="3"/>
    <x v="3"/>
    <x v="5"/>
    <x v="294"/>
    <x v="141"/>
    <x v="178"/>
    <x v="496"/>
    <x v="60"/>
    <x v="433"/>
    <x v="4"/>
  </r>
  <r>
    <x v="0"/>
    <x v="38"/>
    <x v="38"/>
    <x v="8"/>
    <x v="8"/>
    <x v="8"/>
    <x v="6"/>
    <x v="81"/>
    <x v="24"/>
    <x v="203"/>
    <x v="495"/>
    <x v="91"/>
    <x v="434"/>
    <x v="4"/>
  </r>
  <r>
    <x v="0"/>
    <x v="38"/>
    <x v="38"/>
    <x v="9"/>
    <x v="9"/>
    <x v="9"/>
    <x v="7"/>
    <x v="82"/>
    <x v="369"/>
    <x v="172"/>
    <x v="333"/>
    <x v="51"/>
    <x v="320"/>
    <x v="4"/>
  </r>
  <r>
    <x v="0"/>
    <x v="38"/>
    <x v="38"/>
    <x v="7"/>
    <x v="7"/>
    <x v="7"/>
    <x v="8"/>
    <x v="130"/>
    <x v="449"/>
    <x v="138"/>
    <x v="497"/>
    <x v="72"/>
    <x v="402"/>
    <x v="4"/>
  </r>
  <r>
    <x v="0"/>
    <x v="38"/>
    <x v="38"/>
    <x v="6"/>
    <x v="6"/>
    <x v="6"/>
    <x v="9"/>
    <x v="41"/>
    <x v="387"/>
    <x v="157"/>
    <x v="325"/>
    <x v="64"/>
    <x v="435"/>
    <x v="4"/>
  </r>
  <r>
    <x v="0"/>
    <x v="38"/>
    <x v="38"/>
    <x v="14"/>
    <x v="14"/>
    <x v="14"/>
    <x v="10"/>
    <x v="98"/>
    <x v="79"/>
    <x v="162"/>
    <x v="498"/>
    <x v="147"/>
    <x v="436"/>
    <x v="4"/>
  </r>
  <r>
    <x v="0"/>
    <x v="38"/>
    <x v="38"/>
    <x v="11"/>
    <x v="11"/>
    <x v="11"/>
    <x v="11"/>
    <x v="108"/>
    <x v="11"/>
    <x v="128"/>
    <x v="110"/>
    <x v="58"/>
    <x v="95"/>
    <x v="4"/>
  </r>
  <r>
    <x v="0"/>
    <x v="38"/>
    <x v="38"/>
    <x v="13"/>
    <x v="13"/>
    <x v="13"/>
    <x v="12"/>
    <x v="254"/>
    <x v="66"/>
    <x v="58"/>
    <x v="499"/>
    <x v="58"/>
    <x v="95"/>
    <x v="4"/>
  </r>
  <r>
    <x v="0"/>
    <x v="38"/>
    <x v="38"/>
    <x v="10"/>
    <x v="10"/>
    <x v="10"/>
    <x v="13"/>
    <x v="68"/>
    <x v="13"/>
    <x v="88"/>
    <x v="500"/>
    <x v="43"/>
    <x v="52"/>
    <x v="4"/>
  </r>
  <r>
    <x v="0"/>
    <x v="38"/>
    <x v="38"/>
    <x v="16"/>
    <x v="16"/>
    <x v="16"/>
    <x v="13"/>
    <x v="68"/>
    <x v="13"/>
    <x v="84"/>
    <x v="486"/>
    <x v="93"/>
    <x v="50"/>
    <x v="4"/>
  </r>
  <r>
    <x v="0"/>
    <x v="38"/>
    <x v="38"/>
    <x v="17"/>
    <x v="17"/>
    <x v="17"/>
    <x v="15"/>
    <x v="45"/>
    <x v="450"/>
    <x v="118"/>
    <x v="501"/>
    <x v="166"/>
    <x v="229"/>
    <x v="4"/>
  </r>
  <r>
    <x v="0"/>
    <x v="38"/>
    <x v="38"/>
    <x v="18"/>
    <x v="18"/>
    <x v="18"/>
    <x v="16"/>
    <x v="90"/>
    <x v="276"/>
    <x v="67"/>
    <x v="131"/>
    <x v="65"/>
    <x v="56"/>
    <x v="4"/>
  </r>
  <r>
    <x v="0"/>
    <x v="38"/>
    <x v="38"/>
    <x v="20"/>
    <x v="20"/>
    <x v="20"/>
    <x v="17"/>
    <x v="101"/>
    <x v="175"/>
    <x v="47"/>
    <x v="47"/>
    <x v="90"/>
    <x v="35"/>
    <x v="4"/>
  </r>
  <r>
    <x v="0"/>
    <x v="38"/>
    <x v="38"/>
    <x v="19"/>
    <x v="19"/>
    <x v="19"/>
    <x v="18"/>
    <x v="48"/>
    <x v="198"/>
    <x v="33"/>
    <x v="67"/>
    <x v="58"/>
    <x v="95"/>
    <x v="4"/>
  </r>
  <r>
    <x v="0"/>
    <x v="38"/>
    <x v="38"/>
    <x v="15"/>
    <x v="15"/>
    <x v="15"/>
    <x v="18"/>
    <x v="48"/>
    <x v="198"/>
    <x v="51"/>
    <x v="336"/>
    <x v="98"/>
    <x v="343"/>
    <x v="4"/>
  </r>
  <r>
    <x v="0"/>
    <x v="39"/>
    <x v="39"/>
    <x v="0"/>
    <x v="0"/>
    <x v="0"/>
    <x v="0"/>
    <x v="220"/>
    <x v="451"/>
    <x v="173"/>
    <x v="502"/>
    <x v="89"/>
    <x v="437"/>
    <x v="4"/>
  </r>
  <r>
    <x v="0"/>
    <x v="39"/>
    <x v="39"/>
    <x v="1"/>
    <x v="1"/>
    <x v="1"/>
    <x v="1"/>
    <x v="167"/>
    <x v="452"/>
    <x v="64"/>
    <x v="165"/>
    <x v="53"/>
    <x v="434"/>
    <x v="4"/>
  </r>
  <r>
    <x v="0"/>
    <x v="39"/>
    <x v="39"/>
    <x v="2"/>
    <x v="2"/>
    <x v="2"/>
    <x v="2"/>
    <x v="43"/>
    <x v="453"/>
    <x v="65"/>
    <x v="503"/>
    <x v="57"/>
    <x v="44"/>
    <x v="4"/>
  </r>
  <r>
    <x v="0"/>
    <x v="39"/>
    <x v="39"/>
    <x v="5"/>
    <x v="5"/>
    <x v="5"/>
    <x v="3"/>
    <x v="204"/>
    <x v="454"/>
    <x v="104"/>
    <x v="504"/>
    <x v="89"/>
    <x v="437"/>
    <x v="4"/>
  </r>
  <r>
    <x v="0"/>
    <x v="39"/>
    <x v="39"/>
    <x v="3"/>
    <x v="3"/>
    <x v="3"/>
    <x v="4"/>
    <x v="284"/>
    <x v="420"/>
    <x v="60"/>
    <x v="493"/>
    <x v="68"/>
    <x v="438"/>
    <x v="4"/>
  </r>
  <r>
    <x v="0"/>
    <x v="39"/>
    <x v="39"/>
    <x v="4"/>
    <x v="4"/>
    <x v="4"/>
    <x v="5"/>
    <x v="138"/>
    <x v="5"/>
    <x v="45"/>
    <x v="505"/>
    <x v="176"/>
    <x v="439"/>
    <x v="4"/>
  </r>
  <r>
    <x v="0"/>
    <x v="39"/>
    <x v="39"/>
    <x v="9"/>
    <x v="9"/>
    <x v="9"/>
    <x v="5"/>
    <x v="138"/>
    <x v="5"/>
    <x v="193"/>
    <x v="506"/>
    <x v="128"/>
    <x v="440"/>
    <x v="4"/>
  </r>
  <r>
    <x v="0"/>
    <x v="39"/>
    <x v="39"/>
    <x v="6"/>
    <x v="6"/>
    <x v="6"/>
    <x v="7"/>
    <x v="99"/>
    <x v="23"/>
    <x v="48"/>
    <x v="335"/>
    <x v="132"/>
    <x v="441"/>
    <x v="4"/>
  </r>
  <r>
    <x v="0"/>
    <x v="39"/>
    <x v="39"/>
    <x v="7"/>
    <x v="7"/>
    <x v="7"/>
    <x v="8"/>
    <x v="46"/>
    <x v="455"/>
    <x v="104"/>
    <x v="504"/>
    <x v="55"/>
    <x v="130"/>
    <x v="4"/>
  </r>
  <r>
    <x v="0"/>
    <x v="39"/>
    <x v="39"/>
    <x v="8"/>
    <x v="8"/>
    <x v="8"/>
    <x v="9"/>
    <x v="101"/>
    <x v="134"/>
    <x v="162"/>
    <x v="507"/>
    <x v="46"/>
    <x v="70"/>
    <x v="4"/>
  </r>
  <r>
    <x v="0"/>
    <x v="39"/>
    <x v="39"/>
    <x v="10"/>
    <x v="10"/>
    <x v="10"/>
    <x v="10"/>
    <x v="49"/>
    <x v="456"/>
    <x v="39"/>
    <x v="508"/>
    <x v="54"/>
    <x v="160"/>
    <x v="4"/>
  </r>
  <r>
    <x v="0"/>
    <x v="39"/>
    <x v="39"/>
    <x v="16"/>
    <x v="16"/>
    <x v="16"/>
    <x v="10"/>
    <x v="49"/>
    <x v="456"/>
    <x v="31"/>
    <x v="509"/>
    <x v="128"/>
    <x v="440"/>
    <x v="4"/>
  </r>
  <r>
    <x v="0"/>
    <x v="39"/>
    <x v="39"/>
    <x v="15"/>
    <x v="15"/>
    <x v="15"/>
    <x v="12"/>
    <x v="51"/>
    <x v="457"/>
    <x v="41"/>
    <x v="301"/>
    <x v="73"/>
    <x v="442"/>
    <x v="4"/>
  </r>
  <r>
    <x v="0"/>
    <x v="39"/>
    <x v="39"/>
    <x v="11"/>
    <x v="11"/>
    <x v="11"/>
    <x v="13"/>
    <x v="52"/>
    <x v="458"/>
    <x v="34"/>
    <x v="227"/>
    <x v="55"/>
    <x v="130"/>
    <x v="4"/>
  </r>
  <r>
    <x v="0"/>
    <x v="39"/>
    <x v="39"/>
    <x v="13"/>
    <x v="13"/>
    <x v="13"/>
    <x v="14"/>
    <x v="112"/>
    <x v="196"/>
    <x v="68"/>
    <x v="81"/>
    <x v="114"/>
    <x v="401"/>
    <x v="4"/>
  </r>
  <r>
    <x v="0"/>
    <x v="39"/>
    <x v="39"/>
    <x v="19"/>
    <x v="19"/>
    <x v="19"/>
    <x v="15"/>
    <x v="113"/>
    <x v="353"/>
    <x v="33"/>
    <x v="377"/>
    <x v="52"/>
    <x v="175"/>
    <x v="4"/>
  </r>
  <r>
    <x v="0"/>
    <x v="39"/>
    <x v="39"/>
    <x v="14"/>
    <x v="14"/>
    <x v="14"/>
    <x v="16"/>
    <x v="53"/>
    <x v="436"/>
    <x v="58"/>
    <x v="510"/>
    <x v="177"/>
    <x v="17"/>
    <x v="4"/>
  </r>
  <r>
    <x v="0"/>
    <x v="39"/>
    <x v="39"/>
    <x v="17"/>
    <x v="17"/>
    <x v="17"/>
    <x v="16"/>
    <x v="53"/>
    <x v="436"/>
    <x v="34"/>
    <x v="227"/>
    <x v="46"/>
    <x v="70"/>
    <x v="4"/>
  </r>
  <r>
    <x v="0"/>
    <x v="39"/>
    <x v="39"/>
    <x v="23"/>
    <x v="23"/>
    <x v="23"/>
    <x v="18"/>
    <x v="54"/>
    <x v="211"/>
    <x v="41"/>
    <x v="301"/>
    <x v="114"/>
    <x v="401"/>
    <x v="4"/>
  </r>
  <r>
    <x v="0"/>
    <x v="39"/>
    <x v="39"/>
    <x v="18"/>
    <x v="18"/>
    <x v="18"/>
    <x v="19"/>
    <x v="292"/>
    <x v="225"/>
    <x v="47"/>
    <x v="47"/>
    <x v="55"/>
    <x v="130"/>
    <x v="4"/>
  </r>
  <r>
    <x v="0"/>
    <x v="39"/>
    <x v="39"/>
    <x v="20"/>
    <x v="20"/>
    <x v="20"/>
    <x v="19"/>
    <x v="292"/>
    <x v="225"/>
    <x v="47"/>
    <x v="47"/>
    <x v="55"/>
    <x v="130"/>
    <x v="4"/>
  </r>
  <r>
    <x v="0"/>
    <x v="40"/>
    <x v="40"/>
    <x v="12"/>
    <x v="12"/>
    <x v="12"/>
    <x v="0"/>
    <x v="193"/>
    <x v="314"/>
    <x v="204"/>
    <x v="511"/>
    <x v="210"/>
    <x v="443"/>
    <x v="4"/>
  </r>
  <r>
    <x v="0"/>
    <x v="40"/>
    <x v="40"/>
    <x v="2"/>
    <x v="2"/>
    <x v="2"/>
    <x v="1"/>
    <x v="212"/>
    <x v="459"/>
    <x v="36"/>
    <x v="512"/>
    <x v="172"/>
    <x v="143"/>
    <x v="4"/>
  </r>
  <r>
    <x v="0"/>
    <x v="40"/>
    <x v="40"/>
    <x v="3"/>
    <x v="3"/>
    <x v="3"/>
    <x v="2"/>
    <x v="230"/>
    <x v="383"/>
    <x v="109"/>
    <x v="367"/>
    <x v="187"/>
    <x v="444"/>
    <x v="4"/>
  </r>
  <r>
    <x v="0"/>
    <x v="40"/>
    <x v="40"/>
    <x v="0"/>
    <x v="0"/>
    <x v="0"/>
    <x v="3"/>
    <x v="151"/>
    <x v="460"/>
    <x v="166"/>
    <x v="513"/>
    <x v="43"/>
    <x v="445"/>
    <x v="4"/>
  </r>
  <r>
    <x v="0"/>
    <x v="40"/>
    <x v="40"/>
    <x v="6"/>
    <x v="6"/>
    <x v="6"/>
    <x v="4"/>
    <x v="95"/>
    <x v="204"/>
    <x v="42"/>
    <x v="514"/>
    <x v="111"/>
    <x v="446"/>
    <x v="4"/>
  </r>
  <r>
    <x v="0"/>
    <x v="40"/>
    <x v="40"/>
    <x v="4"/>
    <x v="4"/>
    <x v="4"/>
    <x v="5"/>
    <x v="60"/>
    <x v="74"/>
    <x v="45"/>
    <x v="515"/>
    <x v="130"/>
    <x v="447"/>
    <x v="4"/>
  </r>
  <r>
    <x v="0"/>
    <x v="40"/>
    <x v="40"/>
    <x v="1"/>
    <x v="1"/>
    <x v="1"/>
    <x v="6"/>
    <x v="128"/>
    <x v="461"/>
    <x v="66"/>
    <x v="516"/>
    <x v="51"/>
    <x v="448"/>
    <x v="4"/>
  </r>
  <r>
    <x v="0"/>
    <x v="40"/>
    <x v="40"/>
    <x v="23"/>
    <x v="23"/>
    <x v="23"/>
    <x v="7"/>
    <x v="43"/>
    <x v="29"/>
    <x v="72"/>
    <x v="517"/>
    <x v="99"/>
    <x v="281"/>
    <x v="4"/>
  </r>
  <r>
    <x v="0"/>
    <x v="40"/>
    <x v="40"/>
    <x v="5"/>
    <x v="5"/>
    <x v="5"/>
    <x v="8"/>
    <x v="247"/>
    <x v="331"/>
    <x v="88"/>
    <x v="518"/>
    <x v="109"/>
    <x v="219"/>
    <x v="4"/>
  </r>
  <r>
    <x v="0"/>
    <x v="40"/>
    <x v="40"/>
    <x v="31"/>
    <x v="31"/>
    <x v="31"/>
    <x v="9"/>
    <x v="203"/>
    <x v="159"/>
    <x v="68"/>
    <x v="458"/>
    <x v="147"/>
    <x v="449"/>
    <x v="4"/>
  </r>
  <r>
    <x v="0"/>
    <x v="40"/>
    <x v="40"/>
    <x v="11"/>
    <x v="11"/>
    <x v="11"/>
    <x v="10"/>
    <x v="204"/>
    <x v="234"/>
    <x v="128"/>
    <x v="253"/>
    <x v="97"/>
    <x v="181"/>
    <x v="4"/>
  </r>
  <r>
    <x v="0"/>
    <x v="40"/>
    <x v="40"/>
    <x v="32"/>
    <x v="32"/>
    <x v="32"/>
    <x v="11"/>
    <x v="284"/>
    <x v="342"/>
    <x v="58"/>
    <x v="457"/>
    <x v="71"/>
    <x v="161"/>
    <x v="4"/>
  </r>
  <r>
    <x v="0"/>
    <x v="40"/>
    <x v="40"/>
    <x v="28"/>
    <x v="28"/>
    <x v="28"/>
    <x v="12"/>
    <x v="223"/>
    <x v="462"/>
    <x v="45"/>
    <x v="515"/>
    <x v="91"/>
    <x v="177"/>
    <x v="4"/>
  </r>
  <r>
    <x v="0"/>
    <x v="40"/>
    <x v="40"/>
    <x v="18"/>
    <x v="18"/>
    <x v="18"/>
    <x v="13"/>
    <x v="68"/>
    <x v="236"/>
    <x v="100"/>
    <x v="519"/>
    <x v="88"/>
    <x v="450"/>
    <x v="4"/>
  </r>
  <r>
    <x v="0"/>
    <x v="40"/>
    <x v="40"/>
    <x v="17"/>
    <x v="17"/>
    <x v="17"/>
    <x v="13"/>
    <x v="68"/>
    <x v="236"/>
    <x v="39"/>
    <x v="247"/>
    <x v="66"/>
    <x v="34"/>
    <x v="4"/>
  </r>
  <r>
    <x v="0"/>
    <x v="40"/>
    <x v="40"/>
    <x v="8"/>
    <x v="8"/>
    <x v="8"/>
    <x v="15"/>
    <x v="239"/>
    <x v="163"/>
    <x v="80"/>
    <x v="520"/>
    <x v="55"/>
    <x v="97"/>
    <x v="4"/>
  </r>
  <r>
    <x v="0"/>
    <x v="40"/>
    <x v="40"/>
    <x v="34"/>
    <x v="34"/>
    <x v="34"/>
    <x v="16"/>
    <x v="46"/>
    <x v="98"/>
    <x v="50"/>
    <x v="302"/>
    <x v="91"/>
    <x v="177"/>
    <x v="4"/>
  </r>
  <r>
    <x v="0"/>
    <x v="40"/>
    <x v="40"/>
    <x v="9"/>
    <x v="9"/>
    <x v="9"/>
    <x v="17"/>
    <x v="69"/>
    <x v="211"/>
    <x v="44"/>
    <x v="521"/>
    <x v="46"/>
    <x v="451"/>
    <x v="4"/>
  </r>
  <r>
    <x v="0"/>
    <x v="40"/>
    <x v="40"/>
    <x v="15"/>
    <x v="15"/>
    <x v="15"/>
    <x v="18"/>
    <x v="89"/>
    <x v="149"/>
    <x v="33"/>
    <x v="173"/>
    <x v="68"/>
    <x v="364"/>
    <x v="4"/>
  </r>
  <r>
    <x v="0"/>
    <x v="40"/>
    <x v="40"/>
    <x v="21"/>
    <x v="21"/>
    <x v="21"/>
    <x v="19"/>
    <x v="48"/>
    <x v="364"/>
    <x v="49"/>
    <x v="441"/>
    <x v="97"/>
    <x v="181"/>
    <x v="4"/>
  </r>
  <r>
    <x v="0"/>
    <x v="41"/>
    <x v="41"/>
    <x v="2"/>
    <x v="2"/>
    <x v="2"/>
    <x v="0"/>
    <x v="295"/>
    <x v="463"/>
    <x v="40"/>
    <x v="522"/>
    <x v="203"/>
    <x v="452"/>
    <x v="4"/>
  </r>
  <r>
    <x v="0"/>
    <x v="41"/>
    <x v="41"/>
    <x v="0"/>
    <x v="0"/>
    <x v="0"/>
    <x v="1"/>
    <x v="296"/>
    <x v="464"/>
    <x v="205"/>
    <x v="523"/>
    <x v="88"/>
    <x v="79"/>
    <x v="4"/>
  </r>
  <r>
    <x v="0"/>
    <x v="41"/>
    <x v="41"/>
    <x v="1"/>
    <x v="1"/>
    <x v="1"/>
    <x v="2"/>
    <x v="230"/>
    <x v="465"/>
    <x v="32"/>
    <x v="524"/>
    <x v="100"/>
    <x v="45"/>
    <x v="4"/>
  </r>
  <r>
    <x v="0"/>
    <x v="41"/>
    <x v="41"/>
    <x v="3"/>
    <x v="3"/>
    <x v="3"/>
    <x v="3"/>
    <x v="130"/>
    <x v="466"/>
    <x v="128"/>
    <x v="525"/>
    <x v="60"/>
    <x v="453"/>
    <x v="4"/>
  </r>
  <r>
    <x v="0"/>
    <x v="41"/>
    <x v="41"/>
    <x v="4"/>
    <x v="4"/>
    <x v="4"/>
    <x v="4"/>
    <x v="144"/>
    <x v="280"/>
    <x v="34"/>
    <x v="515"/>
    <x v="123"/>
    <x v="447"/>
    <x v="4"/>
  </r>
  <r>
    <x v="0"/>
    <x v="41"/>
    <x v="41"/>
    <x v="5"/>
    <x v="5"/>
    <x v="5"/>
    <x v="5"/>
    <x v="87"/>
    <x v="218"/>
    <x v="72"/>
    <x v="526"/>
    <x v="88"/>
    <x v="79"/>
    <x v="4"/>
  </r>
  <r>
    <x v="0"/>
    <x v="41"/>
    <x v="41"/>
    <x v="6"/>
    <x v="6"/>
    <x v="6"/>
    <x v="6"/>
    <x v="180"/>
    <x v="467"/>
    <x v="68"/>
    <x v="346"/>
    <x v="67"/>
    <x v="154"/>
    <x v="4"/>
  </r>
  <r>
    <x v="0"/>
    <x v="41"/>
    <x v="41"/>
    <x v="9"/>
    <x v="9"/>
    <x v="9"/>
    <x v="7"/>
    <x v="204"/>
    <x v="396"/>
    <x v="78"/>
    <x v="527"/>
    <x v="46"/>
    <x v="454"/>
    <x v="4"/>
  </r>
  <r>
    <x v="0"/>
    <x v="41"/>
    <x v="41"/>
    <x v="7"/>
    <x v="7"/>
    <x v="7"/>
    <x v="8"/>
    <x v="201"/>
    <x v="406"/>
    <x v="102"/>
    <x v="222"/>
    <x v="74"/>
    <x v="411"/>
    <x v="4"/>
  </r>
  <r>
    <x v="0"/>
    <x v="41"/>
    <x v="41"/>
    <x v="8"/>
    <x v="8"/>
    <x v="8"/>
    <x v="9"/>
    <x v="67"/>
    <x v="468"/>
    <x v="44"/>
    <x v="284"/>
    <x v="93"/>
    <x v="162"/>
    <x v="4"/>
  </r>
  <r>
    <x v="0"/>
    <x v="41"/>
    <x v="41"/>
    <x v="14"/>
    <x v="14"/>
    <x v="14"/>
    <x v="10"/>
    <x v="239"/>
    <x v="469"/>
    <x v="60"/>
    <x v="404"/>
    <x v="66"/>
    <x v="314"/>
    <x v="4"/>
  </r>
  <r>
    <x v="0"/>
    <x v="41"/>
    <x v="41"/>
    <x v="15"/>
    <x v="15"/>
    <x v="15"/>
    <x v="11"/>
    <x v="69"/>
    <x v="470"/>
    <x v="41"/>
    <x v="519"/>
    <x v="68"/>
    <x v="142"/>
    <x v="4"/>
  </r>
  <r>
    <x v="0"/>
    <x v="41"/>
    <x v="41"/>
    <x v="10"/>
    <x v="10"/>
    <x v="10"/>
    <x v="12"/>
    <x v="241"/>
    <x v="249"/>
    <x v="39"/>
    <x v="86"/>
    <x v="93"/>
    <x v="162"/>
    <x v="4"/>
  </r>
  <r>
    <x v="0"/>
    <x v="41"/>
    <x v="41"/>
    <x v="11"/>
    <x v="11"/>
    <x v="11"/>
    <x v="13"/>
    <x v="70"/>
    <x v="49"/>
    <x v="77"/>
    <x v="528"/>
    <x v="108"/>
    <x v="191"/>
    <x v="4"/>
  </r>
  <r>
    <x v="0"/>
    <x v="41"/>
    <x v="41"/>
    <x v="16"/>
    <x v="16"/>
    <x v="16"/>
    <x v="14"/>
    <x v="49"/>
    <x v="122"/>
    <x v="58"/>
    <x v="349"/>
    <x v="55"/>
    <x v="309"/>
    <x v="4"/>
  </r>
  <r>
    <x v="0"/>
    <x v="41"/>
    <x v="41"/>
    <x v="13"/>
    <x v="13"/>
    <x v="13"/>
    <x v="15"/>
    <x v="111"/>
    <x v="84"/>
    <x v="49"/>
    <x v="529"/>
    <x v="53"/>
    <x v="179"/>
    <x v="4"/>
  </r>
  <r>
    <x v="0"/>
    <x v="41"/>
    <x v="41"/>
    <x v="22"/>
    <x v="22"/>
    <x v="22"/>
    <x v="16"/>
    <x v="120"/>
    <x v="252"/>
    <x v="33"/>
    <x v="117"/>
    <x v="43"/>
    <x v="455"/>
    <x v="4"/>
  </r>
  <r>
    <x v="0"/>
    <x v="41"/>
    <x v="41"/>
    <x v="17"/>
    <x v="17"/>
    <x v="17"/>
    <x v="17"/>
    <x v="286"/>
    <x v="471"/>
    <x v="49"/>
    <x v="529"/>
    <x v="46"/>
    <x v="454"/>
    <x v="4"/>
  </r>
  <r>
    <x v="0"/>
    <x v="41"/>
    <x v="41"/>
    <x v="19"/>
    <x v="19"/>
    <x v="19"/>
    <x v="18"/>
    <x v="56"/>
    <x v="472"/>
    <x v="59"/>
    <x v="19"/>
    <x v="51"/>
    <x v="120"/>
    <x v="4"/>
  </r>
  <r>
    <x v="0"/>
    <x v="41"/>
    <x v="41"/>
    <x v="21"/>
    <x v="21"/>
    <x v="21"/>
    <x v="18"/>
    <x v="56"/>
    <x v="472"/>
    <x v="59"/>
    <x v="19"/>
    <x v="51"/>
    <x v="120"/>
    <x v="4"/>
  </r>
  <r>
    <x v="0"/>
    <x v="42"/>
    <x v="42"/>
    <x v="2"/>
    <x v="2"/>
    <x v="2"/>
    <x v="0"/>
    <x v="297"/>
    <x v="473"/>
    <x v="206"/>
    <x v="530"/>
    <x v="171"/>
    <x v="456"/>
    <x v="4"/>
  </r>
  <r>
    <x v="0"/>
    <x v="42"/>
    <x v="42"/>
    <x v="3"/>
    <x v="3"/>
    <x v="3"/>
    <x v="1"/>
    <x v="298"/>
    <x v="474"/>
    <x v="76"/>
    <x v="150"/>
    <x v="136"/>
    <x v="457"/>
    <x v="0"/>
  </r>
  <r>
    <x v="0"/>
    <x v="42"/>
    <x v="42"/>
    <x v="0"/>
    <x v="0"/>
    <x v="0"/>
    <x v="2"/>
    <x v="277"/>
    <x v="475"/>
    <x v="207"/>
    <x v="121"/>
    <x v="101"/>
    <x v="309"/>
    <x v="4"/>
  </r>
  <r>
    <x v="0"/>
    <x v="42"/>
    <x v="42"/>
    <x v="1"/>
    <x v="1"/>
    <x v="1"/>
    <x v="3"/>
    <x v="230"/>
    <x v="476"/>
    <x v="208"/>
    <x v="531"/>
    <x v="50"/>
    <x v="120"/>
    <x v="4"/>
  </r>
  <r>
    <x v="0"/>
    <x v="42"/>
    <x v="42"/>
    <x v="12"/>
    <x v="12"/>
    <x v="12"/>
    <x v="4"/>
    <x v="293"/>
    <x v="258"/>
    <x v="193"/>
    <x v="45"/>
    <x v="173"/>
    <x v="458"/>
    <x v="4"/>
  </r>
  <r>
    <x v="0"/>
    <x v="42"/>
    <x v="42"/>
    <x v="4"/>
    <x v="4"/>
    <x v="4"/>
    <x v="5"/>
    <x v="163"/>
    <x v="421"/>
    <x v="72"/>
    <x v="65"/>
    <x v="211"/>
    <x v="459"/>
    <x v="4"/>
  </r>
  <r>
    <x v="0"/>
    <x v="42"/>
    <x v="42"/>
    <x v="6"/>
    <x v="6"/>
    <x v="6"/>
    <x v="6"/>
    <x v="79"/>
    <x v="182"/>
    <x v="39"/>
    <x v="160"/>
    <x v="124"/>
    <x v="75"/>
    <x v="4"/>
  </r>
  <r>
    <x v="0"/>
    <x v="42"/>
    <x v="42"/>
    <x v="5"/>
    <x v="5"/>
    <x v="5"/>
    <x v="7"/>
    <x v="40"/>
    <x v="46"/>
    <x v="35"/>
    <x v="526"/>
    <x v="106"/>
    <x v="115"/>
    <x v="4"/>
  </r>
  <r>
    <x v="0"/>
    <x v="42"/>
    <x v="42"/>
    <x v="23"/>
    <x v="23"/>
    <x v="23"/>
    <x v="8"/>
    <x v="178"/>
    <x v="372"/>
    <x v="157"/>
    <x v="286"/>
    <x v="86"/>
    <x v="460"/>
    <x v="4"/>
  </r>
  <r>
    <x v="0"/>
    <x v="42"/>
    <x v="42"/>
    <x v="11"/>
    <x v="11"/>
    <x v="11"/>
    <x v="9"/>
    <x v="142"/>
    <x v="249"/>
    <x v="88"/>
    <x v="532"/>
    <x v="71"/>
    <x v="177"/>
    <x v="4"/>
  </r>
  <r>
    <x v="0"/>
    <x v="42"/>
    <x v="42"/>
    <x v="28"/>
    <x v="28"/>
    <x v="28"/>
    <x v="10"/>
    <x v="107"/>
    <x v="170"/>
    <x v="84"/>
    <x v="404"/>
    <x v="71"/>
    <x v="177"/>
    <x v="4"/>
  </r>
  <r>
    <x v="0"/>
    <x v="42"/>
    <x v="42"/>
    <x v="31"/>
    <x v="31"/>
    <x v="31"/>
    <x v="11"/>
    <x v="240"/>
    <x v="342"/>
    <x v="42"/>
    <x v="215"/>
    <x v="107"/>
    <x v="401"/>
    <x v="4"/>
  </r>
  <r>
    <x v="0"/>
    <x v="42"/>
    <x v="42"/>
    <x v="9"/>
    <x v="9"/>
    <x v="9"/>
    <x v="12"/>
    <x v="264"/>
    <x v="417"/>
    <x v="74"/>
    <x v="151"/>
    <x v="112"/>
    <x v="461"/>
    <x v="4"/>
  </r>
  <r>
    <x v="0"/>
    <x v="42"/>
    <x v="42"/>
    <x v="8"/>
    <x v="8"/>
    <x v="8"/>
    <x v="13"/>
    <x v="284"/>
    <x v="477"/>
    <x v="76"/>
    <x v="150"/>
    <x v="55"/>
    <x v="448"/>
    <x v="0"/>
  </r>
  <r>
    <x v="0"/>
    <x v="42"/>
    <x v="42"/>
    <x v="21"/>
    <x v="21"/>
    <x v="21"/>
    <x v="14"/>
    <x v="138"/>
    <x v="14"/>
    <x v="48"/>
    <x v="301"/>
    <x v="107"/>
    <x v="401"/>
    <x v="4"/>
  </r>
  <r>
    <x v="0"/>
    <x v="42"/>
    <x v="42"/>
    <x v="10"/>
    <x v="10"/>
    <x v="10"/>
    <x v="14"/>
    <x v="138"/>
    <x v="14"/>
    <x v="84"/>
    <x v="404"/>
    <x v="129"/>
    <x v="378"/>
    <x v="4"/>
  </r>
  <r>
    <x v="0"/>
    <x v="42"/>
    <x v="42"/>
    <x v="7"/>
    <x v="7"/>
    <x v="7"/>
    <x v="16"/>
    <x v="110"/>
    <x v="148"/>
    <x v="142"/>
    <x v="533"/>
    <x v="74"/>
    <x v="9"/>
    <x v="4"/>
  </r>
  <r>
    <x v="0"/>
    <x v="42"/>
    <x v="42"/>
    <x v="17"/>
    <x v="17"/>
    <x v="17"/>
    <x v="17"/>
    <x v="68"/>
    <x v="52"/>
    <x v="88"/>
    <x v="532"/>
    <x v="43"/>
    <x v="462"/>
    <x v="4"/>
  </r>
  <r>
    <x v="0"/>
    <x v="42"/>
    <x v="42"/>
    <x v="35"/>
    <x v="35"/>
    <x v="35"/>
    <x v="18"/>
    <x v="45"/>
    <x v="111"/>
    <x v="142"/>
    <x v="533"/>
    <x v="112"/>
    <x v="461"/>
    <x v="4"/>
  </r>
  <r>
    <x v="0"/>
    <x v="42"/>
    <x v="42"/>
    <x v="36"/>
    <x v="36"/>
    <x v="36"/>
    <x v="19"/>
    <x v="100"/>
    <x v="198"/>
    <x v="140"/>
    <x v="17"/>
    <x v="73"/>
    <x v="230"/>
    <x v="4"/>
  </r>
  <r>
    <x v="0"/>
    <x v="42"/>
    <x v="42"/>
    <x v="15"/>
    <x v="15"/>
    <x v="15"/>
    <x v="19"/>
    <x v="100"/>
    <x v="198"/>
    <x v="41"/>
    <x v="173"/>
    <x v="71"/>
    <x v="177"/>
    <x v="4"/>
  </r>
  <r>
    <x v="0"/>
    <x v="43"/>
    <x v="43"/>
    <x v="0"/>
    <x v="0"/>
    <x v="0"/>
    <x v="0"/>
    <x v="83"/>
    <x v="478"/>
    <x v="123"/>
    <x v="534"/>
    <x v="52"/>
    <x v="463"/>
    <x v="4"/>
  </r>
  <r>
    <x v="0"/>
    <x v="43"/>
    <x v="43"/>
    <x v="1"/>
    <x v="1"/>
    <x v="1"/>
    <x v="1"/>
    <x v="44"/>
    <x v="241"/>
    <x v="40"/>
    <x v="535"/>
    <x v="112"/>
    <x v="63"/>
    <x v="4"/>
  </r>
  <r>
    <x v="0"/>
    <x v="43"/>
    <x v="43"/>
    <x v="3"/>
    <x v="3"/>
    <x v="3"/>
    <x v="2"/>
    <x v="179"/>
    <x v="479"/>
    <x v="44"/>
    <x v="536"/>
    <x v="98"/>
    <x v="464"/>
    <x v="4"/>
  </r>
  <r>
    <x v="0"/>
    <x v="43"/>
    <x v="43"/>
    <x v="2"/>
    <x v="2"/>
    <x v="2"/>
    <x v="3"/>
    <x v="143"/>
    <x v="480"/>
    <x v="89"/>
    <x v="212"/>
    <x v="107"/>
    <x v="265"/>
    <x v="4"/>
  </r>
  <r>
    <x v="0"/>
    <x v="43"/>
    <x v="43"/>
    <x v="4"/>
    <x v="4"/>
    <x v="4"/>
    <x v="4"/>
    <x v="204"/>
    <x v="130"/>
    <x v="45"/>
    <x v="537"/>
    <x v="107"/>
    <x v="265"/>
    <x v="4"/>
  </r>
  <r>
    <x v="0"/>
    <x v="43"/>
    <x v="43"/>
    <x v="5"/>
    <x v="5"/>
    <x v="5"/>
    <x v="5"/>
    <x v="99"/>
    <x v="481"/>
    <x v="140"/>
    <x v="538"/>
    <x v="66"/>
    <x v="432"/>
    <x v="4"/>
  </r>
  <r>
    <x v="0"/>
    <x v="43"/>
    <x v="43"/>
    <x v="7"/>
    <x v="7"/>
    <x v="7"/>
    <x v="6"/>
    <x v="46"/>
    <x v="482"/>
    <x v="80"/>
    <x v="539"/>
    <x v="46"/>
    <x v="222"/>
    <x v="0"/>
  </r>
  <r>
    <x v="0"/>
    <x v="43"/>
    <x v="43"/>
    <x v="9"/>
    <x v="9"/>
    <x v="9"/>
    <x v="7"/>
    <x v="89"/>
    <x v="61"/>
    <x v="88"/>
    <x v="540"/>
    <x v="54"/>
    <x v="209"/>
    <x v="4"/>
  </r>
  <r>
    <x v="0"/>
    <x v="43"/>
    <x v="43"/>
    <x v="6"/>
    <x v="6"/>
    <x v="6"/>
    <x v="8"/>
    <x v="241"/>
    <x v="339"/>
    <x v="68"/>
    <x v="335"/>
    <x v="65"/>
    <x v="465"/>
    <x v="4"/>
  </r>
  <r>
    <x v="0"/>
    <x v="43"/>
    <x v="43"/>
    <x v="8"/>
    <x v="8"/>
    <x v="8"/>
    <x v="9"/>
    <x v="71"/>
    <x v="9"/>
    <x v="140"/>
    <x v="538"/>
    <x v="62"/>
    <x v="191"/>
    <x v="4"/>
  </r>
  <r>
    <x v="0"/>
    <x v="43"/>
    <x v="43"/>
    <x v="11"/>
    <x v="11"/>
    <x v="11"/>
    <x v="10"/>
    <x v="72"/>
    <x v="432"/>
    <x v="96"/>
    <x v="462"/>
    <x v="73"/>
    <x v="466"/>
    <x v="4"/>
  </r>
  <r>
    <x v="0"/>
    <x v="43"/>
    <x v="43"/>
    <x v="16"/>
    <x v="16"/>
    <x v="16"/>
    <x v="11"/>
    <x v="111"/>
    <x v="159"/>
    <x v="96"/>
    <x v="462"/>
    <x v="55"/>
    <x v="12"/>
    <x v="4"/>
  </r>
  <r>
    <x v="0"/>
    <x v="43"/>
    <x v="43"/>
    <x v="10"/>
    <x v="10"/>
    <x v="10"/>
    <x v="12"/>
    <x v="53"/>
    <x v="483"/>
    <x v="77"/>
    <x v="172"/>
    <x v="184"/>
    <x v="430"/>
    <x v="4"/>
  </r>
  <r>
    <x v="0"/>
    <x v="43"/>
    <x v="43"/>
    <x v="17"/>
    <x v="17"/>
    <x v="17"/>
    <x v="12"/>
    <x v="53"/>
    <x v="483"/>
    <x v="38"/>
    <x v="224"/>
    <x v="166"/>
    <x v="231"/>
    <x v="4"/>
  </r>
  <r>
    <x v="0"/>
    <x v="43"/>
    <x v="43"/>
    <x v="14"/>
    <x v="14"/>
    <x v="14"/>
    <x v="14"/>
    <x v="55"/>
    <x v="408"/>
    <x v="67"/>
    <x v="167"/>
    <x v="166"/>
    <x v="231"/>
    <x v="4"/>
  </r>
  <r>
    <x v="0"/>
    <x v="43"/>
    <x v="43"/>
    <x v="13"/>
    <x v="13"/>
    <x v="13"/>
    <x v="14"/>
    <x v="55"/>
    <x v="408"/>
    <x v="67"/>
    <x v="167"/>
    <x v="166"/>
    <x v="231"/>
    <x v="4"/>
  </r>
  <r>
    <x v="0"/>
    <x v="43"/>
    <x v="43"/>
    <x v="23"/>
    <x v="23"/>
    <x v="23"/>
    <x v="16"/>
    <x v="292"/>
    <x v="277"/>
    <x v="50"/>
    <x v="375"/>
    <x v="166"/>
    <x v="231"/>
    <x v="4"/>
  </r>
  <r>
    <x v="0"/>
    <x v="43"/>
    <x v="43"/>
    <x v="12"/>
    <x v="12"/>
    <x v="12"/>
    <x v="17"/>
    <x v="287"/>
    <x v="54"/>
    <x v="50"/>
    <x v="375"/>
    <x v="128"/>
    <x v="120"/>
    <x v="4"/>
  </r>
  <r>
    <x v="0"/>
    <x v="43"/>
    <x v="43"/>
    <x v="18"/>
    <x v="18"/>
    <x v="18"/>
    <x v="18"/>
    <x v="299"/>
    <x v="484"/>
    <x v="47"/>
    <x v="47"/>
    <x v="62"/>
    <x v="191"/>
    <x v="4"/>
  </r>
  <r>
    <x v="0"/>
    <x v="43"/>
    <x v="43"/>
    <x v="19"/>
    <x v="19"/>
    <x v="19"/>
    <x v="18"/>
    <x v="299"/>
    <x v="484"/>
    <x v="51"/>
    <x v="78"/>
    <x v="54"/>
    <x v="209"/>
    <x v="4"/>
  </r>
  <r>
    <x v="0"/>
    <x v="43"/>
    <x v="43"/>
    <x v="25"/>
    <x v="25"/>
    <x v="25"/>
    <x v="18"/>
    <x v="299"/>
    <x v="484"/>
    <x v="47"/>
    <x v="47"/>
    <x v="62"/>
    <x v="191"/>
    <x v="4"/>
  </r>
  <r>
    <x v="0"/>
    <x v="44"/>
    <x v="44"/>
    <x v="0"/>
    <x v="0"/>
    <x v="0"/>
    <x v="0"/>
    <x v="277"/>
    <x v="485"/>
    <x v="209"/>
    <x v="541"/>
    <x v="108"/>
    <x v="467"/>
    <x v="4"/>
  </r>
  <r>
    <x v="0"/>
    <x v="44"/>
    <x v="44"/>
    <x v="1"/>
    <x v="1"/>
    <x v="1"/>
    <x v="1"/>
    <x v="274"/>
    <x v="486"/>
    <x v="210"/>
    <x v="542"/>
    <x v="65"/>
    <x v="468"/>
    <x v="4"/>
  </r>
  <r>
    <x v="0"/>
    <x v="44"/>
    <x v="44"/>
    <x v="5"/>
    <x v="5"/>
    <x v="5"/>
    <x v="2"/>
    <x v="129"/>
    <x v="242"/>
    <x v="102"/>
    <x v="543"/>
    <x v="148"/>
    <x v="469"/>
    <x v="4"/>
  </r>
  <r>
    <x v="0"/>
    <x v="44"/>
    <x v="44"/>
    <x v="3"/>
    <x v="3"/>
    <x v="3"/>
    <x v="3"/>
    <x v="117"/>
    <x v="487"/>
    <x v="162"/>
    <x v="225"/>
    <x v="123"/>
    <x v="470"/>
    <x v="4"/>
  </r>
  <r>
    <x v="0"/>
    <x v="44"/>
    <x v="44"/>
    <x v="2"/>
    <x v="2"/>
    <x v="2"/>
    <x v="3"/>
    <x v="117"/>
    <x v="487"/>
    <x v="60"/>
    <x v="544"/>
    <x v="79"/>
    <x v="471"/>
    <x v="4"/>
  </r>
  <r>
    <x v="0"/>
    <x v="44"/>
    <x v="44"/>
    <x v="4"/>
    <x v="4"/>
    <x v="4"/>
    <x v="5"/>
    <x v="85"/>
    <x v="488"/>
    <x v="38"/>
    <x v="545"/>
    <x v="117"/>
    <x v="472"/>
    <x v="4"/>
  </r>
  <r>
    <x v="0"/>
    <x v="44"/>
    <x v="44"/>
    <x v="9"/>
    <x v="9"/>
    <x v="9"/>
    <x v="6"/>
    <x v="218"/>
    <x v="180"/>
    <x v="133"/>
    <x v="546"/>
    <x v="62"/>
    <x v="302"/>
    <x v="4"/>
  </r>
  <r>
    <x v="0"/>
    <x v="44"/>
    <x v="44"/>
    <x v="6"/>
    <x v="6"/>
    <x v="6"/>
    <x v="7"/>
    <x v="179"/>
    <x v="489"/>
    <x v="48"/>
    <x v="159"/>
    <x v="178"/>
    <x v="473"/>
    <x v="4"/>
  </r>
  <r>
    <x v="0"/>
    <x v="44"/>
    <x v="44"/>
    <x v="8"/>
    <x v="8"/>
    <x v="8"/>
    <x v="8"/>
    <x v="109"/>
    <x v="7"/>
    <x v="70"/>
    <x v="292"/>
    <x v="52"/>
    <x v="63"/>
    <x v="4"/>
  </r>
  <r>
    <x v="0"/>
    <x v="44"/>
    <x v="44"/>
    <x v="7"/>
    <x v="7"/>
    <x v="7"/>
    <x v="9"/>
    <x v="284"/>
    <x v="329"/>
    <x v="80"/>
    <x v="239"/>
    <x v="43"/>
    <x v="121"/>
    <x v="4"/>
  </r>
  <r>
    <x v="0"/>
    <x v="44"/>
    <x v="44"/>
    <x v="11"/>
    <x v="11"/>
    <x v="11"/>
    <x v="10"/>
    <x v="47"/>
    <x v="423"/>
    <x v="77"/>
    <x v="473"/>
    <x v="110"/>
    <x v="123"/>
    <x v="4"/>
  </r>
  <r>
    <x v="0"/>
    <x v="44"/>
    <x v="44"/>
    <x v="10"/>
    <x v="10"/>
    <x v="10"/>
    <x v="11"/>
    <x v="70"/>
    <x v="490"/>
    <x v="140"/>
    <x v="243"/>
    <x v="55"/>
    <x v="232"/>
    <x v="4"/>
  </r>
  <r>
    <x v="0"/>
    <x v="44"/>
    <x v="44"/>
    <x v="15"/>
    <x v="15"/>
    <x v="15"/>
    <x v="12"/>
    <x v="118"/>
    <x v="491"/>
    <x v="33"/>
    <x v="117"/>
    <x v="100"/>
    <x v="474"/>
    <x v="4"/>
  </r>
  <r>
    <x v="0"/>
    <x v="44"/>
    <x v="44"/>
    <x v="13"/>
    <x v="13"/>
    <x v="13"/>
    <x v="13"/>
    <x v="221"/>
    <x v="186"/>
    <x v="96"/>
    <x v="547"/>
    <x v="110"/>
    <x v="123"/>
    <x v="4"/>
  </r>
  <r>
    <x v="0"/>
    <x v="44"/>
    <x v="44"/>
    <x v="16"/>
    <x v="16"/>
    <x v="16"/>
    <x v="14"/>
    <x v="50"/>
    <x v="122"/>
    <x v="157"/>
    <x v="462"/>
    <x v="62"/>
    <x v="302"/>
    <x v="4"/>
  </r>
  <r>
    <x v="0"/>
    <x v="44"/>
    <x v="44"/>
    <x v="14"/>
    <x v="14"/>
    <x v="14"/>
    <x v="15"/>
    <x v="54"/>
    <x v="355"/>
    <x v="67"/>
    <x v="312"/>
    <x v="46"/>
    <x v="475"/>
    <x v="4"/>
  </r>
  <r>
    <x v="0"/>
    <x v="44"/>
    <x v="44"/>
    <x v="12"/>
    <x v="12"/>
    <x v="12"/>
    <x v="16"/>
    <x v="285"/>
    <x v="444"/>
    <x v="100"/>
    <x v="217"/>
    <x v="112"/>
    <x v="282"/>
    <x v="4"/>
  </r>
  <r>
    <x v="0"/>
    <x v="44"/>
    <x v="44"/>
    <x v="20"/>
    <x v="20"/>
    <x v="20"/>
    <x v="16"/>
    <x v="285"/>
    <x v="444"/>
    <x v="47"/>
    <x v="47"/>
    <x v="43"/>
    <x v="121"/>
    <x v="4"/>
  </r>
  <r>
    <x v="0"/>
    <x v="44"/>
    <x v="44"/>
    <x v="21"/>
    <x v="21"/>
    <x v="21"/>
    <x v="18"/>
    <x v="292"/>
    <x v="492"/>
    <x v="51"/>
    <x v="327"/>
    <x v="51"/>
    <x v="476"/>
    <x v="4"/>
  </r>
  <r>
    <x v="0"/>
    <x v="44"/>
    <x v="44"/>
    <x v="18"/>
    <x v="18"/>
    <x v="18"/>
    <x v="19"/>
    <x v="287"/>
    <x v="493"/>
    <x v="51"/>
    <x v="327"/>
    <x v="112"/>
    <x v="282"/>
    <x v="4"/>
  </r>
  <r>
    <x v="0"/>
    <x v="44"/>
    <x v="44"/>
    <x v="37"/>
    <x v="37"/>
    <x v="37"/>
    <x v="19"/>
    <x v="287"/>
    <x v="493"/>
    <x v="59"/>
    <x v="19"/>
    <x v="62"/>
    <x v="302"/>
    <x v="4"/>
  </r>
  <r>
    <x v="0"/>
    <x v="44"/>
    <x v="44"/>
    <x v="17"/>
    <x v="17"/>
    <x v="17"/>
    <x v="19"/>
    <x v="287"/>
    <x v="493"/>
    <x v="96"/>
    <x v="547"/>
    <x v="184"/>
    <x v="477"/>
    <x v="4"/>
  </r>
  <r>
    <x v="0"/>
    <x v="45"/>
    <x v="45"/>
    <x v="2"/>
    <x v="2"/>
    <x v="2"/>
    <x v="0"/>
    <x v="300"/>
    <x v="494"/>
    <x v="187"/>
    <x v="548"/>
    <x v="108"/>
    <x v="478"/>
    <x v="4"/>
  </r>
  <r>
    <x v="0"/>
    <x v="45"/>
    <x v="45"/>
    <x v="1"/>
    <x v="1"/>
    <x v="1"/>
    <x v="1"/>
    <x v="238"/>
    <x v="495"/>
    <x v="66"/>
    <x v="549"/>
    <x v="128"/>
    <x v="411"/>
    <x v="4"/>
  </r>
  <r>
    <x v="0"/>
    <x v="45"/>
    <x v="45"/>
    <x v="0"/>
    <x v="0"/>
    <x v="0"/>
    <x v="2"/>
    <x v="136"/>
    <x v="496"/>
    <x v="211"/>
    <x v="121"/>
    <x v="54"/>
    <x v="11"/>
    <x v="4"/>
  </r>
  <r>
    <x v="0"/>
    <x v="45"/>
    <x v="45"/>
    <x v="5"/>
    <x v="5"/>
    <x v="5"/>
    <x v="3"/>
    <x v="179"/>
    <x v="497"/>
    <x v="70"/>
    <x v="320"/>
    <x v="65"/>
    <x v="479"/>
    <x v="4"/>
  </r>
  <r>
    <x v="0"/>
    <x v="45"/>
    <x v="45"/>
    <x v="3"/>
    <x v="3"/>
    <x v="3"/>
    <x v="4"/>
    <x v="143"/>
    <x v="243"/>
    <x v="80"/>
    <x v="342"/>
    <x v="98"/>
    <x v="480"/>
    <x v="4"/>
  </r>
  <r>
    <x v="0"/>
    <x v="45"/>
    <x v="45"/>
    <x v="4"/>
    <x v="4"/>
    <x v="4"/>
    <x v="5"/>
    <x v="203"/>
    <x v="498"/>
    <x v="84"/>
    <x v="521"/>
    <x v="58"/>
    <x v="481"/>
    <x v="4"/>
  </r>
  <r>
    <x v="0"/>
    <x v="45"/>
    <x v="45"/>
    <x v="7"/>
    <x v="7"/>
    <x v="7"/>
    <x v="6"/>
    <x v="110"/>
    <x v="259"/>
    <x v="70"/>
    <x v="320"/>
    <x v="128"/>
    <x v="411"/>
    <x v="4"/>
  </r>
  <r>
    <x v="0"/>
    <x v="45"/>
    <x v="45"/>
    <x v="8"/>
    <x v="8"/>
    <x v="8"/>
    <x v="7"/>
    <x v="88"/>
    <x v="6"/>
    <x v="35"/>
    <x v="550"/>
    <x v="46"/>
    <x v="354"/>
    <x v="4"/>
  </r>
  <r>
    <x v="0"/>
    <x v="45"/>
    <x v="45"/>
    <x v="6"/>
    <x v="6"/>
    <x v="6"/>
    <x v="8"/>
    <x v="70"/>
    <x v="499"/>
    <x v="34"/>
    <x v="551"/>
    <x v="50"/>
    <x v="482"/>
    <x v="4"/>
  </r>
  <r>
    <x v="0"/>
    <x v="45"/>
    <x v="45"/>
    <x v="11"/>
    <x v="11"/>
    <x v="11"/>
    <x v="8"/>
    <x v="70"/>
    <x v="499"/>
    <x v="140"/>
    <x v="493"/>
    <x v="55"/>
    <x v="84"/>
    <x v="4"/>
  </r>
  <r>
    <x v="0"/>
    <x v="45"/>
    <x v="45"/>
    <x v="9"/>
    <x v="9"/>
    <x v="9"/>
    <x v="10"/>
    <x v="102"/>
    <x v="108"/>
    <x v="43"/>
    <x v="496"/>
    <x v="179"/>
    <x v="9"/>
    <x v="4"/>
  </r>
  <r>
    <x v="0"/>
    <x v="45"/>
    <x v="45"/>
    <x v="17"/>
    <x v="17"/>
    <x v="17"/>
    <x v="11"/>
    <x v="72"/>
    <x v="30"/>
    <x v="65"/>
    <x v="38"/>
    <x v="128"/>
    <x v="411"/>
    <x v="4"/>
  </r>
  <r>
    <x v="0"/>
    <x v="45"/>
    <x v="45"/>
    <x v="16"/>
    <x v="16"/>
    <x v="16"/>
    <x v="12"/>
    <x v="145"/>
    <x v="11"/>
    <x v="140"/>
    <x v="493"/>
    <x v="47"/>
    <x v="282"/>
    <x v="4"/>
  </r>
  <r>
    <x v="0"/>
    <x v="45"/>
    <x v="45"/>
    <x v="18"/>
    <x v="18"/>
    <x v="18"/>
    <x v="13"/>
    <x v="113"/>
    <x v="163"/>
    <x v="41"/>
    <x v="519"/>
    <x v="53"/>
    <x v="65"/>
    <x v="4"/>
  </r>
  <r>
    <x v="0"/>
    <x v="45"/>
    <x v="45"/>
    <x v="12"/>
    <x v="12"/>
    <x v="12"/>
    <x v="14"/>
    <x v="120"/>
    <x v="363"/>
    <x v="100"/>
    <x v="552"/>
    <x v="114"/>
    <x v="483"/>
    <x v="4"/>
  </r>
  <r>
    <x v="0"/>
    <x v="45"/>
    <x v="45"/>
    <x v="14"/>
    <x v="14"/>
    <x v="14"/>
    <x v="14"/>
    <x v="120"/>
    <x v="363"/>
    <x v="38"/>
    <x v="457"/>
    <x v="128"/>
    <x v="411"/>
    <x v="4"/>
  </r>
  <r>
    <x v="0"/>
    <x v="45"/>
    <x v="45"/>
    <x v="10"/>
    <x v="10"/>
    <x v="10"/>
    <x v="16"/>
    <x v="54"/>
    <x v="83"/>
    <x v="58"/>
    <x v="474"/>
    <x v="179"/>
    <x v="9"/>
    <x v="4"/>
  </r>
  <r>
    <x v="0"/>
    <x v="45"/>
    <x v="45"/>
    <x v="13"/>
    <x v="13"/>
    <x v="13"/>
    <x v="16"/>
    <x v="54"/>
    <x v="83"/>
    <x v="34"/>
    <x v="551"/>
    <x v="128"/>
    <x v="411"/>
    <x v="4"/>
  </r>
  <r>
    <x v="0"/>
    <x v="45"/>
    <x v="45"/>
    <x v="20"/>
    <x v="20"/>
    <x v="20"/>
    <x v="18"/>
    <x v="55"/>
    <x v="198"/>
    <x v="47"/>
    <x v="47"/>
    <x v="62"/>
    <x v="100"/>
    <x v="1"/>
  </r>
  <r>
    <x v="0"/>
    <x v="45"/>
    <x v="45"/>
    <x v="24"/>
    <x v="24"/>
    <x v="24"/>
    <x v="19"/>
    <x v="299"/>
    <x v="500"/>
    <x v="33"/>
    <x v="553"/>
    <x v="166"/>
    <x v="327"/>
    <x v="4"/>
  </r>
  <r>
    <x v="0"/>
    <x v="46"/>
    <x v="46"/>
    <x v="0"/>
    <x v="0"/>
    <x v="0"/>
    <x v="0"/>
    <x v="301"/>
    <x v="445"/>
    <x v="124"/>
    <x v="554"/>
    <x v="53"/>
    <x v="145"/>
    <x v="4"/>
  </r>
  <r>
    <x v="0"/>
    <x v="46"/>
    <x v="46"/>
    <x v="1"/>
    <x v="1"/>
    <x v="1"/>
    <x v="1"/>
    <x v="116"/>
    <x v="501"/>
    <x v="86"/>
    <x v="555"/>
    <x v="114"/>
    <x v="277"/>
    <x v="0"/>
  </r>
  <r>
    <x v="0"/>
    <x v="46"/>
    <x v="46"/>
    <x v="2"/>
    <x v="2"/>
    <x v="2"/>
    <x v="2"/>
    <x v="218"/>
    <x v="178"/>
    <x v="104"/>
    <x v="556"/>
    <x v="88"/>
    <x v="184"/>
    <x v="0"/>
  </r>
  <r>
    <x v="0"/>
    <x v="46"/>
    <x v="46"/>
    <x v="4"/>
    <x v="4"/>
    <x v="4"/>
    <x v="3"/>
    <x v="179"/>
    <x v="502"/>
    <x v="34"/>
    <x v="326"/>
    <x v="81"/>
    <x v="484"/>
    <x v="4"/>
  </r>
  <r>
    <x v="0"/>
    <x v="46"/>
    <x v="46"/>
    <x v="7"/>
    <x v="7"/>
    <x v="7"/>
    <x v="4"/>
    <x v="86"/>
    <x v="165"/>
    <x v="107"/>
    <x v="557"/>
    <x v="52"/>
    <x v="485"/>
    <x v="4"/>
  </r>
  <r>
    <x v="0"/>
    <x v="46"/>
    <x v="46"/>
    <x v="6"/>
    <x v="6"/>
    <x v="6"/>
    <x v="5"/>
    <x v="67"/>
    <x v="92"/>
    <x v="34"/>
    <x v="326"/>
    <x v="88"/>
    <x v="184"/>
    <x v="4"/>
  </r>
  <r>
    <x v="0"/>
    <x v="46"/>
    <x v="46"/>
    <x v="9"/>
    <x v="9"/>
    <x v="9"/>
    <x v="6"/>
    <x v="99"/>
    <x v="503"/>
    <x v="193"/>
    <x v="558"/>
    <x v="47"/>
    <x v="339"/>
    <x v="4"/>
  </r>
  <r>
    <x v="0"/>
    <x v="46"/>
    <x v="46"/>
    <x v="5"/>
    <x v="5"/>
    <x v="5"/>
    <x v="7"/>
    <x v="45"/>
    <x v="504"/>
    <x v="72"/>
    <x v="447"/>
    <x v="50"/>
    <x v="486"/>
    <x v="4"/>
  </r>
  <r>
    <x v="0"/>
    <x v="46"/>
    <x v="46"/>
    <x v="8"/>
    <x v="8"/>
    <x v="8"/>
    <x v="8"/>
    <x v="88"/>
    <x v="280"/>
    <x v="44"/>
    <x v="168"/>
    <x v="112"/>
    <x v="313"/>
    <x v="4"/>
  </r>
  <r>
    <x v="0"/>
    <x v="46"/>
    <x v="46"/>
    <x v="10"/>
    <x v="10"/>
    <x v="10"/>
    <x v="9"/>
    <x v="241"/>
    <x v="387"/>
    <x v="105"/>
    <x v="559"/>
    <x v="51"/>
    <x v="63"/>
    <x v="4"/>
  </r>
  <r>
    <x v="0"/>
    <x v="46"/>
    <x v="46"/>
    <x v="3"/>
    <x v="3"/>
    <x v="3"/>
    <x v="10"/>
    <x v="101"/>
    <x v="414"/>
    <x v="34"/>
    <x v="326"/>
    <x v="101"/>
    <x v="487"/>
    <x v="4"/>
  </r>
  <r>
    <x v="0"/>
    <x v="46"/>
    <x v="46"/>
    <x v="13"/>
    <x v="13"/>
    <x v="13"/>
    <x v="11"/>
    <x v="73"/>
    <x v="135"/>
    <x v="68"/>
    <x v="181"/>
    <x v="110"/>
    <x v="407"/>
    <x v="4"/>
  </r>
  <r>
    <x v="0"/>
    <x v="46"/>
    <x v="46"/>
    <x v="11"/>
    <x v="11"/>
    <x v="11"/>
    <x v="12"/>
    <x v="146"/>
    <x v="443"/>
    <x v="39"/>
    <x v="560"/>
    <x v="46"/>
    <x v="50"/>
    <x v="4"/>
  </r>
  <r>
    <x v="0"/>
    <x v="46"/>
    <x v="46"/>
    <x v="15"/>
    <x v="15"/>
    <x v="15"/>
    <x v="13"/>
    <x v="52"/>
    <x v="65"/>
    <x v="47"/>
    <x v="47"/>
    <x v="104"/>
    <x v="488"/>
    <x v="4"/>
  </r>
  <r>
    <x v="0"/>
    <x v="46"/>
    <x v="46"/>
    <x v="16"/>
    <x v="16"/>
    <x v="16"/>
    <x v="14"/>
    <x v="53"/>
    <x v="505"/>
    <x v="96"/>
    <x v="561"/>
    <x v="54"/>
    <x v="7"/>
    <x v="4"/>
  </r>
  <r>
    <x v="0"/>
    <x v="46"/>
    <x v="46"/>
    <x v="18"/>
    <x v="18"/>
    <x v="18"/>
    <x v="15"/>
    <x v="285"/>
    <x v="150"/>
    <x v="59"/>
    <x v="129"/>
    <x v="114"/>
    <x v="277"/>
    <x v="4"/>
  </r>
  <r>
    <x v="0"/>
    <x v="46"/>
    <x v="46"/>
    <x v="14"/>
    <x v="14"/>
    <x v="14"/>
    <x v="16"/>
    <x v="292"/>
    <x v="425"/>
    <x v="48"/>
    <x v="74"/>
    <x v="177"/>
    <x v="259"/>
    <x v="4"/>
  </r>
  <r>
    <x v="0"/>
    <x v="46"/>
    <x v="46"/>
    <x v="20"/>
    <x v="20"/>
    <x v="20"/>
    <x v="16"/>
    <x v="292"/>
    <x v="425"/>
    <x v="47"/>
    <x v="47"/>
    <x v="55"/>
    <x v="132"/>
    <x v="4"/>
  </r>
  <r>
    <x v="0"/>
    <x v="46"/>
    <x v="46"/>
    <x v="19"/>
    <x v="19"/>
    <x v="19"/>
    <x v="18"/>
    <x v="299"/>
    <x v="506"/>
    <x v="51"/>
    <x v="104"/>
    <x v="54"/>
    <x v="7"/>
    <x v="4"/>
  </r>
  <r>
    <x v="0"/>
    <x v="46"/>
    <x v="46"/>
    <x v="21"/>
    <x v="21"/>
    <x v="21"/>
    <x v="18"/>
    <x v="299"/>
    <x v="506"/>
    <x v="33"/>
    <x v="132"/>
    <x v="166"/>
    <x v="410"/>
    <x v="4"/>
  </r>
  <r>
    <x v="0"/>
    <x v="46"/>
    <x v="46"/>
    <x v="22"/>
    <x v="22"/>
    <x v="22"/>
    <x v="18"/>
    <x v="299"/>
    <x v="506"/>
    <x v="59"/>
    <x v="129"/>
    <x v="46"/>
    <x v="50"/>
    <x v="4"/>
  </r>
  <r>
    <x v="0"/>
    <x v="47"/>
    <x v="47"/>
    <x v="4"/>
    <x v="4"/>
    <x v="4"/>
    <x v="0"/>
    <x v="302"/>
    <x v="501"/>
    <x v="89"/>
    <x v="562"/>
    <x v="79"/>
    <x v="489"/>
    <x v="4"/>
  </r>
  <r>
    <x v="0"/>
    <x v="47"/>
    <x v="47"/>
    <x v="1"/>
    <x v="1"/>
    <x v="1"/>
    <x v="1"/>
    <x v="117"/>
    <x v="507"/>
    <x v="73"/>
    <x v="563"/>
    <x v="62"/>
    <x v="114"/>
    <x v="4"/>
  </r>
  <r>
    <x v="0"/>
    <x v="47"/>
    <x v="47"/>
    <x v="0"/>
    <x v="0"/>
    <x v="0"/>
    <x v="2"/>
    <x v="64"/>
    <x v="508"/>
    <x v="204"/>
    <x v="564"/>
    <x v="55"/>
    <x v="132"/>
    <x v="0"/>
  </r>
  <r>
    <x v="0"/>
    <x v="47"/>
    <x v="47"/>
    <x v="3"/>
    <x v="3"/>
    <x v="3"/>
    <x v="3"/>
    <x v="240"/>
    <x v="509"/>
    <x v="105"/>
    <x v="565"/>
    <x v="91"/>
    <x v="490"/>
    <x v="4"/>
  </r>
  <r>
    <x v="0"/>
    <x v="47"/>
    <x v="47"/>
    <x v="6"/>
    <x v="6"/>
    <x v="6"/>
    <x v="4"/>
    <x v="69"/>
    <x v="510"/>
    <x v="96"/>
    <x v="544"/>
    <x v="100"/>
    <x v="491"/>
    <x v="4"/>
  </r>
  <r>
    <x v="0"/>
    <x v="47"/>
    <x v="47"/>
    <x v="5"/>
    <x v="5"/>
    <x v="5"/>
    <x v="5"/>
    <x v="47"/>
    <x v="207"/>
    <x v="140"/>
    <x v="566"/>
    <x v="53"/>
    <x v="145"/>
    <x v="4"/>
  </r>
  <r>
    <x v="0"/>
    <x v="47"/>
    <x v="47"/>
    <x v="2"/>
    <x v="2"/>
    <x v="2"/>
    <x v="6"/>
    <x v="118"/>
    <x v="220"/>
    <x v="49"/>
    <x v="300"/>
    <x v="89"/>
    <x v="307"/>
    <x v="4"/>
  </r>
  <r>
    <x v="0"/>
    <x v="47"/>
    <x v="47"/>
    <x v="11"/>
    <x v="11"/>
    <x v="11"/>
    <x v="7"/>
    <x v="71"/>
    <x v="320"/>
    <x v="89"/>
    <x v="562"/>
    <x v="54"/>
    <x v="7"/>
    <x v="4"/>
  </r>
  <r>
    <x v="0"/>
    <x v="47"/>
    <x v="47"/>
    <x v="7"/>
    <x v="7"/>
    <x v="7"/>
    <x v="8"/>
    <x v="221"/>
    <x v="46"/>
    <x v="65"/>
    <x v="567"/>
    <x v="177"/>
    <x v="259"/>
    <x v="4"/>
  </r>
  <r>
    <x v="0"/>
    <x v="47"/>
    <x v="47"/>
    <x v="12"/>
    <x v="12"/>
    <x v="12"/>
    <x v="9"/>
    <x v="72"/>
    <x v="433"/>
    <x v="96"/>
    <x v="544"/>
    <x v="73"/>
    <x v="492"/>
    <x v="4"/>
  </r>
  <r>
    <x v="0"/>
    <x v="47"/>
    <x v="47"/>
    <x v="8"/>
    <x v="8"/>
    <x v="8"/>
    <x v="9"/>
    <x v="72"/>
    <x v="433"/>
    <x v="60"/>
    <x v="568"/>
    <x v="74"/>
    <x v="311"/>
    <x v="4"/>
  </r>
  <r>
    <x v="0"/>
    <x v="47"/>
    <x v="47"/>
    <x v="17"/>
    <x v="17"/>
    <x v="17"/>
    <x v="11"/>
    <x v="146"/>
    <x v="309"/>
    <x v="42"/>
    <x v="569"/>
    <x v="166"/>
    <x v="410"/>
    <x v="4"/>
  </r>
  <r>
    <x v="0"/>
    <x v="47"/>
    <x v="47"/>
    <x v="23"/>
    <x v="23"/>
    <x v="23"/>
    <x v="12"/>
    <x v="112"/>
    <x v="424"/>
    <x v="51"/>
    <x v="203"/>
    <x v="93"/>
    <x v="442"/>
    <x v="4"/>
  </r>
  <r>
    <x v="0"/>
    <x v="47"/>
    <x v="47"/>
    <x v="9"/>
    <x v="9"/>
    <x v="9"/>
    <x v="12"/>
    <x v="112"/>
    <x v="424"/>
    <x v="77"/>
    <x v="570"/>
    <x v="167"/>
    <x v="47"/>
    <x v="4"/>
  </r>
  <r>
    <x v="0"/>
    <x v="47"/>
    <x v="47"/>
    <x v="15"/>
    <x v="15"/>
    <x v="15"/>
    <x v="14"/>
    <x v="53"/>
    <x v="172"/>
    <x v="33"/>
    <x v="552"/>
    <x v="53"/>
    <x v="145"/>
    <x v="4"/>
  </r>
  <r>
    <x v="0"/>
    <x v="47"/>
    <x v="47"/>
    <x v="13"/>
    <x v="13"/>
    <x v="13"/>
    <x v="15"/>
    <x v="55"/>
    <x v="34"/>
    <x v="100"/>
    <x v="231"/>
    <x v="51"/>
    <x v="63"/>
    <x v="4"/>
  </r>
  <r>
    <x v="0"/>
    <x v="47"/>
    <x v="47"/>
    <x v="10"/>
    <x v="10"/>
    <x v="10"/>
    <x v="16"/>
    <x v="286"/>
    <x v="83"/>
    <x v="68"/>
    <x v="214"/>
    <x v="166"/>
    <x v="410"/>
    <x v="4"/>
  </r>
  <r>
    <x v="0"/>
    <x v="47"/>
    <x v="47"/>
    <x v="25"/>
    <x v="25"/>
    <x v="25"/>
    <x v="17"/>
    <x v="292"/>
    <x v="69"/>
    <x v="51"/>
    <x v="203"/>
    <x v="51"/>
    <x v="63"/>
    <x v="4"/>
  </r>
  <r>
    <x v="0"/>
    <x v="47"/>
    <x v="47"/>
    <x v="18"/>
    <x v="18"/>
    <x v="18"/>
    <x v="18"/>
    <x v="288"/>
    <x v="312"/>
    <x v="51"/>
    <x v="203"/>
    <x v="62"/>
    <x v="114"/>
    <x v="4"/>
  </r>
  <r>
    <x v="0"/>
    <x v="47"/>
    <x v="47"/>
    <x v="38"/>
    <x v="38"/>
    <x v="38"/>
    <x v="19"/>
    <x v="299"/>
    <x v="511"/>
    <x v="33"/>
    <x v="552"/>
    <x v="166"/>
    <x v="410"/>
    <x v="4"/>
  </r>
  <r>
    <x v="0"/>
    <x v="47"/>
    <x v="47"/>
    <x v="28"/>
    <x v="28"/>
    <x v="28"/>
    <x v="19"/>
    <x v="299"/>
    <x v="511"/>
    <x v="50"/>
    <x v="571"/>
    <x v="177"/>
    <x v="259"/>
    <x v="4"/>
  </r>
  <r>
    <x v="0"/>
    <x v="47"/>
    <x v="47"/>
    <x v="19"/>
    <x v="19"/>
    <x v="19"/>
    <x v="19"/>
    <x v="299"/>
    <x v="511"/>
    <x v="59"/>
    <x v="95"/>
    <x v="46"/>
    <x v="50"/>
    <x v="4"/>
  </r>
  <r>
    <x v="0"/>
    <x v="47"/>
    <x v="47"/>
    <x v="20"/>
    <x v="20"/>
    <x v="20"/>
    <x v="19"/>
    <x v="299"/>
    <x v="511"/>
    <x v="47"/>
    <x v="47"/>
    <x v="62"/>
    <x v="114"/>
    <x v="4"/>
  </r>
  <r>
    <x v="0"/>
    <x v="48"/>
    <x v="48"/>
    <x v="0"/>
    <x v="0"/>
    <x v="0"/>
    <x v="0"/>
    <x v="303"/>
    <x v="512"/>
    <x v="113"/>
    <x v="572"/>
    <x v="72"/>
    <x v="123"/>
    <x v="4"/>
  </r>
  <r>
    <x v="0"/>
    <x v="48"/>
    <x v="48"/>
    <x v="3"/>
    <x v="3"/>
    <x v="3"/>
    <x v="1"/>
    <x v="168"/>
    <x v="497"/>
    <x v="42"/>
    <x v="45"/>
    <x v="145"/>
    <x v="214"/>
    <x v="4"/>
  </r>
  <r>
    <x v="0"/>
    <x v="48"/>
    <x v="48"/>
    <x v="2"/>
    <x v="2"/>
    <x v="2"/>
    <x v="1"/>
    <x v="168"/>
    <x v="497"/>
    <x v="89"/>
    <x v="573"/>
    <x v="175"/>
    <x v="493"/>
    <x v="4"/>
  </r>
  <r>
    <x v="0"/>
    <x v="48"/>
    <x v="48"/>
    <x v="1"/>
    <x v="1"/>
    <x v="1"/>
    <x v="1"/>
    <x v="168"/>
    <x v="497"/>
    <x v="52"/>
    <x v="574"/>
    <x v="46"/>
    <x v="494"/>
    <x v="4"/>
  </r>
  <r>
    <x v="0"/>
    <x v="48"/>
    <x v="48"/>
    <x v="4"/>
    <x v="4"/>
    <x v="4"/>
    <x v="4"/>
    <x v="143"/>
    <x v="513"/>
    <x v="45"/>
    <x v="510"/>
    <x v="123"/>
    <x v="495"/>
    <x v="4"/>
  </r>
  <r>
    <x v="0"/>
    <x v="48"/>
    <x v="48"/>
    <x v="12"/>
    <x v="12"/>
    <x v="12"/>
    <x v="5"/>
    <x v="66"/>
    <x v="514"/>
    <x v="103"/>
    <x v="225"/>
    <x v="176"/>
    <x v="496"/>
    <x v="4"/>
  </r>
  <r>
    <x v="0"/>
    <x v="48"/>
    <x v="48"/>
    <x v="6"/>
    <x v="6"/>
    <x v="6"/>
    <x v="6"/>
    <x v="153"/>
    <x v="245"/>
    <x v="68"/>
    <x v="61"/>
    <x v="105"/>
    <x v="497"/>
    <x v="4"/>
  </r>
  <r>
    <x v="0"/>
    <x v="48"/>
    <x v="48"/>
    <x v="5"/>
    <x v="5"/>
    <x v="5"/>
    <x v="7"/>
    <x v="90"/>
    <x v="8"/>
    <x v="60"/>
    <x v="575"/>
    <x v="104"/>
    <x v="498"/>
    <x v="4"/>
  </r>
  <r>
    <x v="0"/>
    <x v="48"/>
    <x v="48"/>
    <x v="7"/>
    <x v="7"/>
    <x v="7"/>
    <x v="8"/>
    <x v="48"/>
    <x v="370"/>
    <x v="39"/>
    <x v="576"/>
    <x v="43"/>
    <x v="11"/>
    <x v="4"/>
  </r>
  <r>
    <x v="0"/>
    <x v="48"/>
    <x v="48"/>
    <x v="9"/>
    <x v="9"/>
    <x v="9"/>
    <x v="8"/>
    <x v="48"/>
    <x v="370"/>
    <x v="80"/>
    <x v="577"/>
    <x v="167"/>
    <x v="461"/>
    <x v="4"/>
  </r>
  <r>
    <x v="0"/>
    <x v="48"/>
    <x v="48"/>
    <x v="11"/>
    <x v="11"/>
    <x v="11"/>
    <x v="10"/>
    <x v="71"/>
    <x v="283"/>
    <x v="60"/>
    <x v="575"/>
    <x v="53"/>
    <x v="219"/>
    <x v="4"/>
  </r>
  <r>
    <x v="0"/>
    <x v="48"/>
    <x v="48"/>
    <x v="8"/>
    <x v="8"/>
    <x v="8"/>
    <x v="11"/>
    <x v="221"/>
    <x v="309"/>
    <x v="128"/>
    <x v="504"/>
    <x v="179"/>
    <x v="333"/>
    <x v="0"/>
  </r>
  <r>
    <x v="0"/>
    <x v="48"/>
    <x v="48"/>
    <x v="23"/>
    <x v="23"/>
    <x v="23"/>
    <x v="12"/>
    <x v="103"/>
    <x v="515"/>
    <x v="49"/>
    <x v="286"/>
    <x v="104"/>
    <x v="498"/>
    <x v="4"/>
  </r>
  <r>
    <x v="0"/>
    <x v="48"/>
    <x v="48"/>
    <x v="10"/>
    <x v="10"/>
    <x v="10"/>
    <x v="13"/>
    <x v="146"/>
    <x v="234"/>
    <x v="45"/>
    <x v="510"/>
    <x v="55"/>
    <x v="283"/>
    <x v="4"/>
  </r>
  <r>
    <x v="0"/>
    <x v="48"/>
    <x v="48"/>
    <x v="16"/>
    <x v="16"/>
    <x v="16"/>
    <x v="14"/>
    <x v="112"/>
    <x v="251"/>
    <x v="34"/>
    <x v="94"/>
    <x v="62"/>
    <x v="70"/>
    <x v="4"/>
  </r>
  <r>
    <x v="0"/>
    <x v="48"/>
    <x v="48"/>
    <x v="18"/>
    <x v="18"/>
    <x v="18"/>
    <x v="15"/>
    <x v="53"/>
    <x v="123"/>
    <x v="41"/>
    <x v="578"/>
    <x v="43"/>
    <x v="11"/>
    <x v="4"/>
  </r>
  <r>
    <x v="0"/>
    <x v="48"/>
    <x v="48"/>
    <x v="17"/>
    <x v="17"/>
    <x v="17"/>
    <x v="15"/>
    <x v="53"/>
    <x v="123"/>
    <x v="45"/>
    <x v="510"/>
    <x v="47"/>
    <x v="462"/>
    <x v="4"/>
  </r>
  <r>
    <x v="0"/>
    <x v="48"/>
    <x v="48"/>
    <x v="36"/>
    <x v="36"/>
    <x v="36"/>
    <x v="17"/>
    <x v="55"/>
    <x v="364"/>
    <x v="68"/>
    <x v="61"/>
    <x v="54"/>
    <x v="403"/>
    <x v="4"/>
  </r>
  <r>
    <x v="0"/>
    <x v="48"/>
    <x v="48"/>
    <x v="22"/>
    <x v="22"/>
    <x v="22"/>
    <x v="17"/>
    <x v="55"/>
    <x v="364"/>
    <x v="59"/>
    <x v="553"/>
    <x v="114"/>
    <x v="33"/>
    <x v="0"/>
  </r>
  <r>
    <x v="0"/>
    <x v="48"/>
    <x v="48"/>
    <x v="32"/>
    <x v="32"/>
    <x v="32"/>
    <x v="19"/>
    <x v="285"/>
    <x v="69"/>
    <x v="100"/>
    <x v="579"/>
    <x v="112"/>
    <x v="324"/>
    <x v="4"/>
  </r>
  <r>
    <x v="0"/>
    <x v="49"/>
    <x v="49"/>
    <x v="0"/>
    <x v="0"/>
    <x v="0"/>
    <x v="0"/>
    <x v="304"/>
    <x v="516"/>
    <x v="32"/>
    <x v="580"/>
    <x v="105"/>
    <x v="499"/>
    <x v="4"/>
  </r>
  <r>
    <x v="0"/>
    <x v="49"/>
    <x v="49"/>
    <x v="1"/>
    <x v="1"/>
    <x v="1"/>
    <x v="1"/>
    <x v="305"/>
    <x v="517"/>
    <x v="212"/>
    <x v="581"/>
    <x v="73"/>
    <x v="132"/>
    <x v="4"/>
  </r>
  <r>
    <x v="0"/>
    <x v="49"/>
    <x v="49"/>
    <x v="2"/>
    <x v="2"/>
    <x v="2"/>
    <x v="2"/>
    <x v="79"/>
    <x v="518"/>
    <x v="77"/>
    <x v="140"/>
    <x v="59"/>
    <x v="500"/>
    <x v="4"/>
  </r>
  <r>
    <x v="0"/>
    <x v="49"/>
    <x v="49"/>
    <x v="5"/>
    <x v="5"/>
    <x v="5"/>
    <x v="3"/>
    <x v="116"/>
    <x v="404"/>
    <x v="83"/>
    <x v="582"/>
    <x v="70"/>
    <x v="501"/>
    <x v="4"/>
  </r>
  <r>
    <x v="0"/>
    <x v="49"/>
    <x v="49"/>
    <x v="3"/>
    <x v="3"/>
    <x v="3"/>
    <x v="4"/>
    <x v="98"/>
    <x v="519"/>
    <x v="42"/>
    <x v="209"/>
    <x v="87"/>
    <x v="502"/>
    <x v="4"/>
  </r>
  <r>
    <x v="0"/>
    <x v="49"/>
    <x v="49"/>
    <x v="4"/>
    <x v="4"/>
    <x v="4"/>
    <x v="5"/>
    <x v="85"/>
    <x v="520"/>
    <x v="34"/>
    <x v="6"/>
    <x v="202"/>
    <x v="503"/>
    <x v="4"/>
  </r>
  <r>
    <x v="0"/>
    <x v="49"/>
    <x v="49"/>
    <x v="7"/>
    <x v="7"/>
    <x v="7"/>
    <x v="6"/>
    <x v="63"/>
    <x v="503"/>
    <x v="145"/>
    <x v="583"/>
    <x v="43"/>
    <x v="400"/>
    <x v="4"/>
  </r>
  <r>
    <x v="0"/>
    <x v="49"/>
    <x v="49"/>
    <x v="8"/>
    <x v="8"/>
    <x v="8"/>
    <x v="7"/>
    <x v="142"/>
    <x v="521"/>
    <x v="78"/>
    <x v="584"/>
    <x v="110"/>
    <x v="100"/>
    <x v="4"/>
  </r>
  <r>
    <x v="0"/>
    <x v="49"/>
    <x v="49"/>
    <x v="6"/>
    <x v="6"/>
    <x v="6"/>
    <x v="8"/>
    <x v="65"/>
    <x v="522"/>
    <x v="67"/>
    <x v="235"/>
    <x v="121"/>
    <x v="504"/>
    <x v="4"/>
  </r>
  <r>
    <x v="0"/>
    <x v="49"/>
    <x v="49"/>
    <x v="10"/>
    <x v="10"/>
    <x v="10"/>
    <x v="9"/>
    <x v="223"/>
    <x v="231"/>
    <x v="84"/>
    <x v="223"/>
    <x v="104"/>
    <x v="218"/>
    <x v="4"/>
  </r>
  <r>
    <x v="0"/>
    <x v="49"/>
    <x v="49"/>
    <x v="9"/>
    <x v="9"/>
    <x v="9"/>
    <x v="10"/>
    <x v="110"/>
    <x v="499"/>
    <x v="55"/>
    <x v="585"/>
    <x v="128"/>
    <x v="47"/>
    <x v="4"/>
  </r>
  <r>
    <x v="0"/>
    <x v="49"/>
    <x v="49"/>
    <x v="15"/>
    <x v="15"/>
    <x v="15"/>
    <x v="11"/>
    <x v="101"/>
    <x v="491"/>
    <x v="33"/>
    <x v="553"/>
    <x v="102"/>
    <x v="505"/>
    <x v="4"/>
  </r>
  <r>
    <x v="0"/>
    <x v="49"/>
    <x v="49"/>
    <x v="16"/>
    <x v="16"/>
    <x v="16"/>
    <x v="12"/>
    <x v="102"/>
    <x v="187"/>
    <x v="37"/>
    <x v="105"/>
    <x v="73"/>
    <x v="132"/>
    <x v="4"/>
  </r>
  <r>
    <x v="0"/>
    <x v="49"/>
    <x v="49"/>
    <x v="11"/>
    <x v="11"/>
    <x v="11"/>
    <x v="13"/>
    <x v="72"/>
    <x v="66"/>
    <x v="77"/>
    <x v="140"/>
    <x v="114"/>
    <x v="50"/>
    <x v="4"/>
  </r>
  <r>
    <x v="0"/>
    <x v="49"/>
    <x v="49"/>
    <x v="13"/>
    <x v="13"/>
    <x v="13"/>
    <x v="14"/>
    <x v="111"/>
    <x v="37"/>
    <x v="48"/>
    <x v="408"/>
    <x v="74"/>
    <x v="394"/>
    <x v="4"/>
  </r>
  <r>
    <x v="0"/>
    <x v="49"/>
    <x v="49"/>
    <x v="20"/>
    <x v="20"/>
    <x v="20"/>
    <x v="14"/>
    <x v="111"/>
    <x v="37"/>
    <x v="47"/>
    <x v="47"/>
    <x v="93"/>
    <x v="130"/>
    <x v="4"/>
  </r>
  <r>
    <x v="0"/>
    <x v="49"/>
    <x v="49"/>
    <x v="14"/>
    <x v="14"/>
    <x v="14"/>
    <x v="16"/>
    <x v="113"/>
    <x v="54"/>
    <x v="68"/>
    <x v="219"/>
    <x v="55"/>
    <x v="215"/>
    <x v="4"/>
  </r>
  <r>
    <x v="0"/>
    <x v="49"/>
    <x v="49"/>
    <x v="21"/>
    <x v="21"/>
    <x v="21"/>
    <x v="17"/>
    <x v="54"/>
    <x v="138"/>
    <x v="41"/>
    <x v="132"/>
    <x v="114"/>
    <x v="50"/>
    <x v="4"/>
  </r>
  <r>
    <x v="0"/>
    <x v="49"/>
    <x v="49"/>
    <x v="12"/>
    <x v="12"/>
    <x v="12"/>
    <x v="18"/>
    <x v="285"/>
    <x v="313"/>
    <x v="100"/>
    <x v="430"/>
    <x v="112"/>
    <x v="124"/>
    <x v="4"/>
  </r>
  <r>
    <x v="0"/>
    <x v="49"/>
    <x v="49"/>
    <x v="19"/>
    <x v="19"/>
    <x v="19"/>
    <x v="18"/>
    <x v="285"/>
    <x v="313"/>
    <x v="51"/>
    <x v="143"/>
    <x v="74"/>
    <x v="394"/>
    <x v="4"/>
  </r>
  <r>
    <x v="0"/>
    <x v="50"/>
    <x v="50"/>
    <x v="0"/>
    <x v="0"/>
    <x v="0"/>
    <x v="0"/>
    <x v="178"/>
    <x v="523"/>
    <x v="159"/>
    <x v="586"/>
    <x v="74"/>
    <x v="506"/>
    <x v="4"/>
  </r>
  <r>
    <x v="0"/>
    <x v="50"/>
    <x v="50"/>
    <x v="2"/>
    <x v="2"/>
    <x v="2"/>
    <x v="1"/>
    <x v="168"/>
    <x v="524"/>
    <x v="55"/>
    <x v="587"/>
    <x v="45"/>
    <x v="507"/>
    <x v="4"/>
  </r>
  <r>
    <x v="0"/>
    <x v="50"/>
    <x v="50"/>
    <x v="1"/>
    <x v="1"/>
    <x v="1"/>
    <x v="2"/>
    <x v="68"/>
    <x v="525"/>
    <x v="118"/>
    <x v="588"/>
    <x v="46"/>
    <x v="508"/>
    <x v="4"/>
  </r>
  <r>
    <x v="0"/>
    <x v="50"/>
    <x v="50"/>
    <x v="5"/>
    <x v="5"/>
    <x v="5"/>
    <x v="3"/>
    <x v="239"/>
    <x v="526"/>
    <x v="84"/>
    <x v="589"/>
    <x v="108"/>
    <x v="79"/>
    <x v="4"/>
  </r>
  <r>
    <x v="0"/>
    <x v="50"/>
    <x v="50"/>
    <x v="4"/>
    <x v="4"/>
    <x v="4"/>
    <x v="4"/>
    <x v="88"/>
    <x v="527"/>
    <x v="38"/>
    <x v="590"/>
    <x v="90"/>
    <x v="509"/>
    <x v="4"/>
  </r>
  <r>
    <x v="0"/>
    <x v="50"/>
    <x v="50"/>
    <x v="7"/>
    <x v="7"/>
    <x v="7"/>
    <x v="5"/>
    <x v="101"/>
    <x v="93"/>
    <x v="105"/>
    <x v="591"/>
    <x v="62"/>
    <x v="218"/>
    <x v="4"/>
  </r>
  <r>
    <x v="0"/>
    <x v="50"/>
    <x v="50"/>
    <x v="3"/>
    <x v="3"/>
    <x v="3"/>
    <x v="6"/>
    <x v="118"/>
    <x v="168"/>
    <x v="103"/>
    <x v="409"/>
    <x v="74"/>
    <x v="506"/>
    <x v="4"/>
  </r>
  <r>
    <x v="0"/>
    <x v="50"/>
    <x v="50"/>
    <x v="6"/>
    <x v="6"/>
    <x v="6"/>
    <x v="7"/>
    <x v="49"/>
    <x v="62"/>
    <x v="41"/>
    <x v="529"/>
    <x v="104"/>
    <x v="305"/>
    <x v="4"/>
  </r>
  <r>
    <x v="0"/>
    <x v="50"/>
    <x v="50"/>
    <x v="8"/>
    <x v="8"/>
    <x v="8"/>
    <x v="7"/>
    <x v="49"/>
    <x v="62"/>
    <x v="103"/>
    <x v="409"/>
    <x v="166"/>
    <x v="8"/>
    <x v="4"/>
  </r>
  <r>
    <x v="0"/>
    <x v="50"/>
    <x v="50"/>
    <x v="11"/>
    <x v="11"/>
    <x v="11"/>
    <x v="9"/>
    <x v="146"/>
    <x v="320"/>
    <x v="37"/>
    <x v="201"/>
    <x v="114"/>
    <x v="510"/>
    <x v="4"/>
  </r>
  <r>
    <x v="0"/>
    <x v="50"/>
    <x v="50"/>
    <x v="16"/>
    <x v="16"/>
    <x v="16"/>
    <x v="10"/>
    <x v="51"/>
    <x v="528"/>
    <x v="72"/>
    <x v="254"/>
    <x v="184"/>
    <x v="511"/>
    <x v="0"/>
  </r>
  <r>
    <x v="0"/>
    <x v="50"/>
    <x v="50"/>
    <x v="9"/>
    <x v="9"/>
    <x v="9"/>
    <x v="11"/>
    <x v="111"/>
    <x v="529"/>
    <x v="103"/>
    <x v="409"/>
    <x v="179"/>
    <x v="155"/>
    <x v="4"/>
  </r>
  <r>
    <x v="0"/>
    <x v="50"/>
    <x v="50"/>
    <x v="13"/>
    <x v="13"/>
    <x v="13"/>
    <x v="12"/>
    <x v="53"/>
    <x v="530"/>
    <x v="68"/>
    <x v="202"/>
    <x v="51"/>
    <x v="166"/>
    <x v="4"/>
  </r>
  <r>
    <x v="0"/>
    <x v="50"/>
    <x v="50"/>
    <x v="10"/>
    <x v="10"/>
    <x v="10"/>
    <x v="13"/>
    <x v="54"/>
    <x v="373"/>
    <x v="67"/>
    <x v="373"/>
    <x v="46"/>
    <x v="508"/>
    <x v="4"/>
  </r>
  <r>
    <x v="0"/>
    <x v="50"/>
    <x v="50"/>
    <x v="20"/>
    <x v="20"/>
    <x v="20"/>
    <x v="14"/>
    <x v="287"/>
    <x v="111"/>
    <x v="51"/>
    <x v="67"/>
    <x v="62"/>
    <x v="218"/>
    <x v="4"/>
  </r>
  <r>
    <x v="0"/>
    <x v="50"/>
    <x v="50"/>
    <x v="15"/>
    <x v="15"/>
    <x v="15"/>
    <x v="15"/>
    <x v="288"/>
    <x v="84"/>
    <x v="51"/>
    <x v="67"/>
    <x v="62"/>
    <x v="218"/>
    <x v="4"/>
  </r>
  <r>
    <x v="0"/>
    <x v="50"/>
    <x v="50"/>
    <x v="17"/>
    <x v="17"/>
    <x v="17"/>
    <x v="16"/>
    <x v="299"/>
    <x v="238"/>
    <x v="49"/>
    <x v="52"/>
    <x v="167"/>
    <x v="475"/>
    <x v="4"/>
  </r>
  <r>
    <x v="0"/>
    <x v="50"/>
    <x v="50"/>
    <x v="18"/>
    <x v="18"/>
    <x v="18"/>
    <x v="17"/>
    <x v="306"/>
    <x v="225"/>
    <x v="51"/>
    <x v="67"/>
    <x v="46"/>
    <x v="508"/>
    <x v="4"/>
  </r>
  <r>
    <x v="0"/>
    <x v="50"/>
    <x v="50"/>
    <x v="12"/>
    <x v="12"/>
    <x v="12"/>
    <x v="18"/>
    <x v="307"/>
    <x v="531"/>
    <x v="33"/>
    <x v="328"/>
    <x v="47"/>
    <x v="220"/>
    <x v="4"/>
  </r>
  <r>
    <x v="0"/>
    <x v="50"/>
    <x v="50"/>
    <x v="23"/>
    <x v="23"/>
    <x v="23"/>
    <x v="18"/>
    <x v="307"/>
    <x v="531"/>
    <x v="47"/>
    <x v="47"/>
    <x v="46"/>
    <x v="508"/>
    <x v="4"/>
  </r>
  <r>
    <x v="0"/>
    <x v="50"/>
    <x v="50"/>
    <x v="21"/>
    <x v="21"/>
    <x v="21"/>
    <x v="18"/>
    <x v="307"/>
    <x v="531"/>
    <x v="51"/>
    <x v="67"/>
    <x v="166"/>
    <x v="8"/>
    <x v="4"/>
  </r>
  <r>
    <x v="0"/>
    <x v="50"/>
    <x v="50"/>
    <x v="14"/>
    <x v="14"/>
    <x v="14"/>
    <x v="18"/>
    <x v="307"/>
    <x v="531"/>
    <x v="41"/>
    <x v="529"/>
    <x v="177"/>
    <x v="512"/>
    <x v="4"/>
  </r>
  <r>
    <x v="0"/>
    <x v="51"/>
    <x v="51"/>
    <x v="0"/>
    <x v="0"/>
    <x v="0"/>
    <x v="0"/>
    <x v="109"/>
    <x v="532"/>
    <x v="178"/>
    <x v="592"/>
    <x v="167"/>
    <x v="71"/>
    <x v="4"/>
  </r>
  <r>
    <x v="0"/>
    <x v="51"/>
    <x v="51"/>
    <x v="4"/>
    <x v="4"/>
    <x v="4"/>
    <x v="1"/>
    <x v="45"/>
    <x v="533"/>
    <x v="48"/>
    <x v="593"/>
    <x v="68"/>
    <x v="513"/>
    <x v="4"/>
  </r>
  <r>
    <x v="0"/>
    <x v="51"/>
    <x v="51"/>
    <x v="3"/>
    <x v="3"/>
    <x v="3"/>
    <x v="2"/>
    <x v="100"/>
    <x v="534"/>
    <x v="60"/>
    <x v="63"/>
    <x v="45"/>
    <x v="439"/>
    <x v="4"/>
  </r>
  <r>
    <x v="0"/>
    <x v="51"/>
    <x v="51"/>
    <x v="1"/>
    <x v="1"/>
    <x v="1"/>
    <x v="3"/>
    <x v="46"/>
    <x v="289"/>
    <x v="70"/>
    <x v="594"/>
    <x v="177"/>
    <x v="341"/>
    <x v="4"/>
  </r>
  <r>
    <x v="0"/>
    <x v="51"/>
    <x v="51"/>
    <x v="6"/>
    <x v="6"/>
    <x v="6"/>
    <x v="4"/>
    <x v="89"/>
    <x v="535"/>
    <x v="68"/>
    <x v="171"/>
    <x v="58"/>
    <x v="514"/>
    <x v="4"/>
  </r>
  <r>
    <x v="0"/>
    <x v="51"/>
    <x v="51"/>
    <x v="7"/>
    <x v="7"/>
    <x v="7"/>
    <x v="5"/>
    <x v="101"/>
    <x v="454"/>
    <x v="162"/>
    <x v="595"/>
    <x v="166"/>
    <x v="515"/>
    <x v="4"/>
  </r>
  <r>
    <x v="0"/>
    <x v="51"/>
    <x v="51"/>
    <x v="2"/>
    <x v="2"/>
    <x v="2"/>
    <x v="6"/>
    <x v="72"/>
    <x v="521"/>
    <x v="50"/>
    <x v="400"/>
    <x v="129"/>
    <x v="516"/>
    <x v="4"/>
  </r>
  <r>
    <x v="0"/>
    <x v="51"/>
    <x v="51"/>
    <x v="5"/>
    <x v="5"/>
    <x v="5"/>
    <x v="7"/>
    <x v="146"/>
    <x v="536"/>
    <x v="34"/>
    <x v="172"/>
    <x v="43"/>
    <x v="468"/>
    <x v="4"/>
  </r>
  <r>
    <x v="0"/>
    <x v="51"/>
    <x v="51"/>
    <x v="11"/>
    <x v="11"/>
    <x v="11"/>
    <x v="8"/>
    <x v="51"/>
    <x v="397"/>
    <x v="68"/>
    <x v="171"/>
    <x v="52"/>
    <x v="517"/>
    <x v="4"/>
  </r>
  <r>
    <x v="0"/>
    <x v="51"/>
    <x v="51"/>
    <x v="9"/>
    <x v="9"/>
    <x v="9"/>
    <x v="8"/>
    <x v="51"/>
    <x v="397"/>
    <x v="140"/>
    <x v="557"/>
    <x v="184"/>
    <x v="518"/>
    <x v="4"/>
  </r>
  <r>
    <x v="0"/>
    <x v="51"/>
    <x v="51"/>
    <x v="12"/>
    <x v="12"/>
    <x v="12"/>
    <x v="10"/>
    <x v="119"/>
    <x v="537"/>
    <x v="49"/>
    <x v="174"/>
    <x v="43"/>
    <x v="468"/>
    <x v="4"/>
  </r>
  <r>
    <x v="0"/>
    <x v="51"/>
    <x v="51"/>
    <x v="8"/>
    <x v="8"/>
    <x v="8"/>
    <x v="11"/>
    <x v="112"/>
    <x v="371"/>
    <x v="77"/>
    <x v="585"/>
    <x v="167"/>
    <x v="71"/>
    <x v="4"/>
  </r>
  <r>
    <x v="0"/>
    <x v="51"/>
    <x v="51"/>
    <x v="23"/>
    <x v="23"/>
    <x v="23"/>
    <x v="12"/>
    <x v="53"/>
    <x v="157"/>
    <x v="41"/>
    <x v="130"/>
    <x v="43"/>
    <x v="468"/>
    <x v="4"/>
  </r>
  <r>
    <x v="0"/>
    <x v="51"/>
    <x v="51"/>
    <x v="13"/>
    <x v="13"/>
    <x v="13"/>
    <x v="13"/>
    <x v="292"/>
    <x v="161"/>
    <x v="100"/>
    <x v="52"/>
    <x v="46"/>
    <x v="101"/>
    <x v="4"/>
  </r>
  <r>
    <x v="0"/>
    <x v="51"/>
    <x v="51"/>
    <x v="20"/>
    <x v="20"/>
    <x v="20"/>
    <x v="13"/>
    <x v="292"/>
    <x v="161"/>
    <x v="47"/>
    <x v="47"/>
    <x v="212"/>
    <x v="519"/>
    <x v="4"/>
  </r>
  <r>
    <x v="0"/>
    <x v="51"/>
    <x v="51"/>
    <x v="19"/>
    <x v="19"/>
    <x v="19"/>
    <x v="15"/>
    <x v="287"/>
    <x v="163"/>
    <x v="59"/>
    <x v="552"/>
    <x v="62"/>
    <x v="262"/>
    <x v="4"/>
  </r>
  <r>
    <x v="0"/>
    <x v="51"/>
    <x v="51"/>
    <x v="17"/>
    <x v="17"/>
    <x v="17"/>
    <x v="15"/>
    <x v="287"/>
    <x v="163"/>
    <x v="50"/>
    <x v="400"/>
    <x v="128"/>
    <x v="34"/>
    <x v="4"/>
  </r>
  <r>
    <x v="0"/>
    <x v="51"/>
    <x v="51"/>
    <x v="31"/>
    <x v="31"/>
    <x v="31"/>
    <x v="17"/>
    <x v="306"/>
    <x v="124"/>
    <x v="59"/>
    <x v="552"/>
    <x v="166"/>
    <x v="515"/>
    <x v="4"/>
  </r>
  <r>
    <x v="0"/>
    <x v="51"/>
    <x v="51"/>
    <x v="18"/>
    <x v="18"/>
    <x v="18"/>
    <x v="17"/>
    <x v="306"/>
    <x v="124"/>
    <x v="33"/>
    <x v="596"/>
    <x v="128"/>
    <x v="34"/>
    <x v="4"/>
  </r>
  <r>
    <x v="0"/>
    <x v="51"/>
    <x v="51"/>
    <x v="28"/>
    <x v="28"/>
    <x v="28"/>
    <x v="19"/>
    <x v="307"/>
    <x v="265"/>
    <x v="41"/>
    <x v="130"/>
    <x v="177"/>
    <x v="341"/>
    <x v="4"/>
  </r>
  <r>
    <x v="0"/>
    <x v="51"/>
    <x v="51"/>
    <x v="16"/>
    <x v="16"/>
    <x v="16"/>
    <x v="19"/>
    <x v="307"/>
    <x v="265"/>
    <x v="33"/>
    <x v="596"/>
    <x v="47"/>
    <x v="402"/>
    <x v="4"/>
  </r>
  <r>
    <x v="0"/>
    <x v="52"/>
    <x v="52"/>
    <x v="2"/>
    <x v="2"/>
    <x v="2"/>
    <x v="0"/>
    <x v="97"/>
    <x v="538"/>
    <x v="100"/>
    <x v="313"/>
    <x v="158"/>
    <x v="520"/>
    <x v="4"/>
  </r>
  <r>
    <x v="0"/>
    <x v="52"/>
    <x v="52"/>
    <x v="3"/>
    <x v="3"/>
    <x v="3"/>
    <x v="1"/>
    <x v="264"/>
    <x v="539"/>
    <x v="48"/>
    <x v="90"/>
    <x v="144"/>
    <x v="521"/>
    <x v="4"/>
  </r>
  <r>
    <x v="0"/>
    <x v="52"/>
    <x v="52"/>
    <x v="4"/>
    <x v="4"/>
    <x v="4"/>
    <x v="2"/>
    <x v="46"/>
    <x v="527"/>
    <x v="48"/>
    <x v="90"/>
    <x v="102"/>
    <x v="384"/>
    <x v="4"/>
  </r>
  <r>
    <x v="0"/>
    <x v="52"/>
    <x v="52"/>
    <x v="6"/>
    <x v="6"/>
    <x v="6"/>
    <x v="3"/>
    <x v="70"/>
    <x v="540"/>
    <x v="51"/>
    <x v="419"/>
    <x v="102"/>
    <x v="384"/>
    <x v="4"/>
  </r>
  <r>
    <x v="0"/>
    <x v="52"/>
    <x v="52"/>
    <x v="0"/>
    <x v="0"/>
    <x v="0"/>
    <x v="4"/>
    <x v="118"/>
    <x v="541"/>
    <x v="104"/>
    <x v="597"/>
    <x v="177"/>
    <x v="155"/>
    <x v="4"/>
  </r>
  <r>
    <x v="0"/>
    <x v="52"/>
    <x v="52"/>
    <x v="5"/>
    <x v="5"/>
    <x v="5"/>
    <x v="5"/>
    <x v="51"/>
    <x v="46"/>
    <x v="67"/>
    <x v="88"/>
    <x v="43"/>
    <x v="522"/>
    <x v="4"/>
  </r>
  <r>
    <x v="0"/>
    <x v="52"/>
    <x v="52"/>
    <x v="1"/>
    <x v="1"/>
    <x v="1"/>
    <x v="5"/>
    <x v="51"/>
    <x v="46"/>
    <x v="103"/>
    <x v="598"/>
    <x v="177"/>
    <x v="155"/>
    <x v="4"/>
  </r>
  <r>
    <x v="0"/>
    <x v="52"/>
    <x v="52"/>
    <x v="23"/>
    <x v="23"/>
    <x v="23"/>
    <x v="7"/>
    <x v="111"/>
    <x v="542"/>
    <x v="33"/>
    <x v="599"/>
    <x v="93"/>
    <x v="523"/>
    <x v="4"/>
  </r>
  <r>
    <x v="0"/>
    <x v="52"/>
    <x v="52"/>
    <x v="12"/>
    <x v="12"/>
    <x v="12"/>
    <x v="8"/>
    <x v="119"/>
    <x v="529"/>
    <x v="59"/>
    <x v="600"/>
    <x v="93"/>
    <x v="523"/>
    <x v="4"/>
  </r>
  <r>
    <x v="0"/>
    <x v="52"/>
    <x v="52"/>
    <x v="31"/>
    <x v="31"/>
    <x v="31"/>
    <x v="9"/>
    <x v="113"/>
    <x v="310"/>
    <x v="50"/>
    <x v="601"/>
    <x v="74"/>
    <x v="418"/>
    <x v="4"/>
  </r>
  <r>
    <x v="0"/>
    <x v="52"/>
    <x v="52"/>
    <x v="11"/>
    <x v="11"/>
    <x v="11"/>
    <x v="9"/>
    <x v="113"/>
    <x v="310"/>
    <x v="68"/>
    <x v="496"/>
    <x v="55"/>
    <x v="63"/>
    <x v="4"/>
  </r>
  <r>
    <x v="0"/>
    <x v="52"/>
    <x v="52"/>
    <x v="7"/>
    <x v="7"/>
    <x v="7"/>
    <x v="11"/>
    <x v="55"/>
    <x v="82"/>
    <x v="67"/>
    <x v="88"/>
    <x v="177"/>
    <x v="155"/>
    <x v="4"/>
  </r>
  <r>
    <x v="0"/>
    <x v="52"/>
    <x v="52"/>
    <x v="32"/>
    <x v="32"/>
    <x v="32"/>
    <x v="12"/>
    <x v="285"/>
    <x v="110"/>
    <x v="33"/>
    <x v="599"/>
    <x v="55"/>
    <x v="63"/>
    <x v="4"/>
  </r>
  <r>
    <x v="0"/>
    <x v="52"/>
    <x v="52"/>
    <x v="17"/>
    <x v="17"/>
    <x v="17"/>
    <x v="12"/>
    <x v="285"/>
    <x v="110"/>
    <x v="50"/>
    <x v="601"/>
    <x v="62"/>
    <x v="181"/>
    <x v="4"/>
  </r>
  <r>
    <x v="0"/>
    <x v="52"/>
    <x v="52"/>
    <x v="34"/>
    <x v="34"/>
    <x v="34"/>
    <x v="14"/>
    <x v="56"/>
    <x v="450"/>
    <x v="51"/>
    <x v="419"/>
    <x v="55"/>
    <x v="63"/>
    <x v="4"/>
  </r>
  <r>
    <x v="0"/>
    <x v="52"/>
    <x v="52"/>
    <x v="19"/>
    <x v="19"/>
    <x v="19"/>
    <x v="15"/>
    <x v="292"/>
    <x v="264"/>
    <x v="51"/>
    <x v="419"/>
    <x v="51"/>
    <x v="354"/>
    <x v="4"/>
  </r>
  <r>
    <x v="0"/>
    <x v="52"/>
    <x v="52"/>
    <x v="18"/>
    <x v="18"/>
    <x v="18"/>
    <x v="16"/>
    <x v="288"/>
    <x v="53"/>
    <x v="51"/>
    <x v="419"/>
    <x v="62"/>
    <x v="181"/>
    <x v="4"/>
  </r>
  <r>
    <x v="0"/>
    <x v="52"/>
    <x v="52"/>
    <x v="9"/>
    <x v="9"/>
    <x v="9"/>
    <x v="16"/>
    <x v="288"/>
    <x v="53"/>
    <x v="34"/>
    <x v="602"/>
    <x v="49"/>
    <x v="524"/>
    <x v="4"/>
  </r>
  <r>
    <x v="0"/>
    <x v="52"/>
    <x v="52"/>
    <x v="20"/>
    <x v="20"/>
    <x v="20"/>
    <x v="16"/>
    <x v="288"/>
    <x v="53"/>
    <x v="47"/>
    <x v="47"/>
    <x v="128"/>
    <x v="332"/>
    <x v="4"/>
  </r>
  <r>
    <x v="0"/>
    <x v="52"/>
    <x v="52"/>
    <x v="22"/>
    <x v="22"/>
    <x v="22"/>
    <x v="16"/>
    <x v="288"/>
    <x v="53"/>
    <x v="47"/>
    <x v="47"/>
    <x v="112"/>
    <x v="153"/>
    <x v="4"/>
  </r>
  <r>
    <x v="0"/>
    <x v="53"/>
    <x v="53"/>
    <x v="1"/>
    <x v="1"/>
    <x v="1"/>
    <x v="0"/>
    <x v="129"/>
    <x v="543"/>
    <x v="213"/>
    <x v="603"/>
    <x v="46"/>
    <x v="199"/>
    <x v="4"/>
  </r>
  <r>
    <x v="0"/>
    <x v="53"/>
    <x v="53"/>
    <x v="0"/>
    <x v="0"/>
    <x v="0"/>
    <x v="1"/>
    <x v="86"/>
    <x v="544"/>
    <x v="145"/>
    <x v="604"/>
    <x v="47"/>
    <x v="64"/>
    <x v="4"/>
  </r>
  <r>
    <x v="0"/>
    <x v="53"/>
    <x v="53"/>
    <x v="3"/>
    <x v="3"/>
    <x v="3"/>
    <x v="2"/>
    <x v="153"/>
    <x v="545"/>
    <x v="72"/>
    <x v="605"/>
    <x v="45"/>
    <x v="525"/>
    <x v="4"/>
  </r>
  <r>
    <x v="0"/>
    <x v="53"/>
    <x v="53"/>
    <x v="4"/>
    <x v="4"/>
    <x v="4"/>
    <x v="3"/>
    <x v="102"/>
    <x v="118"/>
    <x v="48"/>
    <x v="373"/>
    <x v="129"/>
    <x v="526"/>
    <x v="4"/>
  </r>
  <r>
    <x v="0"/>
    <x v="53"/>
    <x v="53"/>
    <x v="8"/>
    <x v="8"/>
    <x v="8"/>
    <x v="3"/>
    <x v="102"/>
    <x v="118"/>
    <x v="65"/>
    <x v="606"/>
    <x v="54"/>
    <x v="32"/>
    <x v="4"/>
  </r>
  <r>
    <x v="0"/>
    <x v="53"/>
    <x v="53"/>
    <x v="5"/>
    <x v="5"/>
    <x v="5"/>
    <x v="5"/>
    <x v="221"/>
    <x v="546"/>
    <x v="58"/>
    <x v="447"/>
    <x v="52"/>
    <x v="527"/>
    <x v="4"/>
  </r>
  <r>
    <x v="0"/>
    <x v="53"/>
    <x v="53"/>
    <x v="9"/>
    <x v="9"/>
    <x v="9"/>
    <x v="6"/>
    <x v="111"/>
    <x v="220"/>
    <x v="39"/>
    <x v="607"/>
    <x v="177"/>
    <x v="206"/>
    <x v="4"/>
  </r>
  <r>
    <x v="0"/>
    <x v="53"/>
    <x v="53"/>
    <x v="2"/>
    <x v="2"/>
    <x v="2"/>
    <x v="7"/>
    <x v="119"/>
    <x v="414"/>
    <x v="34"/>
    <x v="533"/>
    <x v="112"/>
    <x v="468"/>
    <x v="4"/>
  </r>
  <r>
    <x v="0"/>
    <x v="53"/>
    <x v="53"/>
    <x v="7"/>
    <x v="7"/>
    <x v="7"/>
    <x v="8"/>
    <x v="53"/>
    <x v="352"/>
    <x v="58"/>
    <x v="447"/>
    <x v="177"/>
    <x v="206"/>
    <x v="4"/>
  </r>
  <r>
    <x v="0"/>
    <x v="53"/>
    <x v="53"/>
    <x v="11"/>
    <x v="11"/>
    <x v="11"/>
    <x v="9"/>
    <x v="120"/>
    <x v="388"/>
    <x v="38"/>
    <x v="608"/>
    <x v="128"/>
    <x v="219"/>
    <x v="4"/>
  </r>
  <r>
    <x v="0"/>
    <x v="53"/>
    <x v="53"/>
    <x v="16"/>
    <x v="16"/>
    <x v="16"/>
    <x v="10"/>
    <x v="54"/>
    <x v="64"/>
    <x v="48"/>
    <x v="373"/>
    <x v="54"/>
    <x v="32"/>
    <x v="4"/>
  </r>
  <r>
    <x v="0"/>
    <x v="53"/>
    <x v="53"/>
    <x v="6"/>
    <x v="6"/>
    <x v="6"/>
    <x v="11"/>
    <x v="285"/>
    <x v="147"/>
    <x v="51"/>
    <x v="19"/>
    <x v="74"/>
    <x v="528"/>
    <x v="4"/>
  </r>
  <r>
    <x v="0"/>
    <x v="53"/>
    <x v="53"/>
    <x v="15"/>
    <x v="15"/>
    <x v="15"/>
    <x v="12"/>
    <x v="288"/>
    <x v="14"/>
    <x v="33"/>
    <x v="131"/>
    <x v="46"/>
    <x v="199"/>
    <x v="4"/>
  </r>
  <r>
    <x v="0"/>
    <x v="53"/>
    <x v="53"/>
    <x v="13"/>
    <x v="13"/>
    <x v="13"/>
    <x v="12"/>
    <x v="288"/>
    <x v="14"/>
    <x v="41"/>
    <x v="219"/>
    <x v="166"/>
    <x v="311"/>
    <x v="4"/>
  </r>
  <r>
    <x v="0"/>
    <x v="53"/>
    <x v="53"/>
    <x v="17"/>
    <x v="17"/>
    <x v="17"/>
    <x v="12"/>
    <x v="288"/>
    <x v="14"/>
    <x v="48"/>
    <x v="373"/>
    <x v="179"/>
    <x v="201"/>
    <x v="4"/>
  </r>
  <r>
    <x v="0"/>
    <x v="53"/>
    <x v="53"/>
    <x v="12"/>
    <x v="12"/>
    <x v="12"/>
    <x v="15"/>
    <x v="299"/>
    <x v="211"/>
    <x v="59"/>
    <x v="132"/>
    <x v="46"/>
    <x v="199"/>
    <x v="4"/>
  </r>
  <r>
    <x v="0"/>
    <x v="53"/>
    <x v="53"/>
    <x v="20"/>
    <x v="20"/>
    <x v="20"/>
    <x v="16"/>
    <x v="307"/>
    <x v="69"/>
    <x v="47"/>
    <x v="47"/>
    <x v="166"/>
    <x v="311"/>
    <x v="4"/>
  </r>
  <r>
    <x v="0"/>
    <x v="53"/>
    <x v="53"/>
    <x v="21"/>
    <x v="21"/>
    <x v="21"/>
    <x v="17"/>
    <x v="308"/>
    <x v="225"/>
    <x v="59"/>
    <x v="132"/>
    <x v="47"/>
    <x v="64"/>
    <x v="4"/>
  </r>
  <r>
    <x v="0"/>
    <x v="53"/>
    <x v="53"/>
    <x v="14"/>
    <x v="14"/>
    <x v="14"/>
    <x v="17"/>
    <x v="308"/>
    <x v="225"/>
    <x v="50"/>
    <x v="74"/>
    <x v="184"/>
    <x v="529"/>
    <x v="4"/>
  </r>
  <r>
    <x v="0"/>
    <x v="53"/>
    <x v="53"/>
    <x v="10"/>
    <x v="10"/>
    <x v="10"/>
    <x v="17"/>
    <x v="308"/>
    <x v="225"/>
    <x v="50"/>
    <x v="74"/>
    <x v="184"/>
    <x v="529"/>
    <x v="4"/>
  </r>
  <r>
    <x v="0"/>
    <x v="54"/>
    <x v="54"/>
    <x v="1"/>
    <x v="1"/>
    <x v="1"/>
    <x v="0"/>
    <x v="49"/>
    <x v="547"/>
    <x v="140"/>
    <x v="609"/>
    <x v="177"/>
    <x v="530"/>
    <x v="4"/>
  </r>
  <r>
    <x v="0"/>
    <x v="54"/>
    <x v="54"/>
    <x v="4"/>
    <x v="4"/>
    <x v="4"/>
    <x v="1"/>
    <x v="146"/>
    <x v="128"/>
    <x v="67"/>
    <x v="610"/>
    <x v="52"/>
    <x v="531"/>
    <x v="4"/>
  </r>
  <r>
    <x v="0"/>
    <x v="54"/>
    <x v="54"/>
    <x v="5"/>
    <x v="5"/>
    <x v="5"/>
    <x v="2"/>
    <x v="52"/>
    <x v="548"/>
    <x v="58"/>
    <x v="611"/>
    <x v="54"/>
    <x v="532"/>
    <x v="4"/>
  </r>
  <r>
    <x v="0"/>
    <x v="54"/>
    <x v="54"/>
    <x v="3"/>
    <x v="3"/>
    <x v="3"/>
    <x v="3"/>
    <x v="113"/>
    <x v="479"/>
    <x v="38"/>
    <x v="612"/>
    <x v="46"/>
    <x v="533"/>
    <x v="4"/>
  </r>
  <r>
    <x v="0"/>
    <x v="54"/>
    <x v="54"/>
    <x v="7"/>
    <x v="7"/>
    <x v="7"/>
    <x v="4"/>
    <x v="54"/>
    <x v="549"/>
    <x v="77"/>
    <x v="613"/>
    <x v="213"/>
    <x v="534"/>
    <x v="4"/>
  </r>
  <r>
    <x v="0"/>
    <x v="54"/>
    <x v="54"/>
    <x v="32"/>
    <x v="32"/>
    <x v="32"/>
    <x v="5"/>
    <x v="55"/>
    <x v="448"/>
    <x v="96"/>
    <x v="614"/>
    <x v="128"/>
    <x v="535"/>
    <x v="4"/>
  </r>
  <r>
    <x v="0"/>
    <x v="54"/>
    <x v="54"/>
    <x v="0"/>
    <x v="0"/>
    <x v="0"/>
    <x v="6"/>
    <x v="287"/>
    <x v="550"/>
    <x v="34"/>
    <x v="615"/>
    <x v="212"/>
    <x v="536"/>
    <x v="4"/>
  </r>
  <r>
    <x v="0"/>
    <x v="54"/>
    <x v="54"/>
    <x v="8"/>
    <x v="8"/>
    <x v="8"/>
    <x v="7"/>
    <x v="288"/>
    <x v="551"/>
    <x v="67"/>
    <x v="610"/>
    <x v="184"/>
    <x v="101"/>
    <x v="4"/>
  </r>
  <r>
    <x v="0"/>
    <x v="54"/>
    <x v="54"/>
    <x v="9"/>
    <x v="9"/>
    <x v="9"/>
    <x v="8"/>
    <x v="307"/>
    <x v="169"/>
    <x v="49"/>
    <x v="521"/>
    <x v="184"/>
    <x v="101"/>
    <x v="4"/>
  </r>
  <r>
    <x v="0"/>
    <x v="54"/>
    <x v="54"/>
    <x v="6"/>
    <x v="6"/>
    <x v="6"/>
    <x v="9"/>
    <x v="308"/>
    <x v="389"/>
    <x v="41"/>
    <x v="126"/>
    <x v="167"/>
    <x v="98"/>
    <x v="4"/>
  </r>
  <r>
    <x v="0"/>
    <x v="54"/>
    <x v="54"/>
    <x v="12"/>
    <x v="12"/>
    <x v="12"/>
    <x v="10"/>
    <x v="309"/>
    <x v="186"/>
    <x v="33"/>
    <x v="215"/>
    <x v="179"/>
    <x v="322"/>
    <x v="4"/>
  </r>
  <r>
    <x v="0"/>
    <x v="54"/>
    <x v="54"/>
    <x v="17"/>
    <x v="17"/>
    <x v="17"/>
    <x v="10"/>
    <x v="309"/>
    <x v="186"/>
    <x v="50"/>
    <x v="369"/>
    <x v="49"/>
    <x v="537"/>
    <x v="4"/>
  </r>
  <r>
    <x v="0"/>
    <x v="54"/>
    <x v="54"/>
    <x v="14"/>
    <x v="14"/>
    <x v="14"/>
    <x v="12"/>
    <x v="310"/>
    <x v="162"/>
    <x v="100"/>
    <x v="397"/>
    <x v="49"/>
    <x v="537"/>
    <x v="4"/>
  </r>
  <r>
    <x v="0"/>
    <x v="54"/>
    <x v="54"/>
    <x v="15"/>
    <x v="15"/>
    <x v="15"/>
    <x v="12"/>
    <x v="310"/>
    <x v="162"/>
    <x v="47"/>
    <x v="47"/>
    <x v="177"/>
    <x v="530"/>
    <x v="4"/>
  </r>
  <r>
    <x v="0"/>
    <x v="54"/>
    <x v="54"/>
    <x v="10"/>
    <x v="10"/>
    <x v="10"/>
    <x v="12"/>
    <x v="310"/>
    <x v="162"/>
    <x v="50"/>
    <x v="369"/>
    <x v="213"/>
    <x v="534"/>
    <x v="4"/>
  </r>
  <r>
    <x v="0"/>
    <x v="54"/>
    <x v="54"/>
    <x v="18"/>
    <x v="18"/>
    <x v="18"/>
    <x v="15"/>
    <x v="311"/>
    <x v="16"/>
    <x v="59"/>
    <x v="440"/>
    <x v="184"/>
    <x v="101"/>
    <x v="4"/>
  </r>
  <r>
    <x v="0"/>
    <x v="54"/>
    <x v="54"/>
    <x v="11"/>
    <x v="11"/>
    <x v="11"/>
    <x v="15"/>
    <x v="311"/>
    <x v="16"/>
    <x v="41"/>
    <x v="126"/>
    <x v="49"/>
    <x v="537"/>
    <x v="4"/>
  </r>
  <r>
    <x v="0"/>
    <x v="54"/>
    <x v="54"/>
    <x v="2"/>
    <x v="2"/>
    <x v="2"/>
    <x v="15"/>
    <x v="311"/>
    <x v="16"/>
    <x v="59"/>
    <x v="440"/>
    <x v="184"/>
    <x v="101"/>
    <x v="4"/>
  </r>
  <r>
    <x v="0"/>
    <x v="54"/>
    <x v="54"/>
    <x v="29"/>
    <x v="29"/>
    <x v="29"/>
    <x v="18"/>
    <x v="312"/>
    <x v="425"/>
    <x v="59"/>
    <x v="440"/>
    <x v="212"/>
    <x v="536"/>
    <x v="4"/>
  </r>
  <r>
    <x v="0"/>
    <x v="54"/>
    <x v="54"/>
    <x v="33"/>
    <x v="33"/>
    <x v="33"/>
    <x v="19"/>
    <x v="313"/>
    <x v="552"/>
    <x v="47"/>
    <x v="47"/>
    <x v="184"/>
    <x v="101"/>
    <x v="4"/>
  </r>
  <r>
    <x v="0"/>
    <x v="54"/>
    <x v="54"/>
    <x v="39"/>
    <x v="39"/>
    <x v="39"/>
    <x v="19"/>
    <x v="313"/>
    <x v="552"/>
    <x v="59"/>
    <x v="440"/>
    <x v="49"/>
    <x v="537"/>
    <x v="4"/>
  </r>
  <r>
    <x v="0"/>
    <x v="54"/>
    <x v="54"/>
    <x v="40"/>
    <x v="40"/>
    <x v="40"/>
    <x v="19"/>
    <x v="313"/>
    <x v="552"/>
    <x v="51"/>
    <x v="419"/>
    <x v="212"/>
    <x v="536"/>
    <x v="4"/>
  </r>
  <r>
    <x v="0"/>
    <x v="54"/>
    <x v="54"/>
    <x v="28"/>
    <x v="28"/>
    <x v="28"/>
    <x v="19"/>
    <x v="313"/>
    <x v="552"/>
    <x v="59"/>
    <x v="440"/>
    <x v="49"/>
    <x v="537"/>
    <x v="4"/>
  </r>
  <r>
    <x v="0"/>
    <x v="54"/>
    <x v="54"/>
    <x v="21"/>
    <x v="21"/>
    <x v="21"/>
    <x v="19"/>
    <x v="313"/>
    <x v="552"/>
    <x v="51"/>
    <x v="419"/>
    <x v="212"/>
    <x v="536"/>
    <x v="4"/>
  </r>
  <r>
    <x v="0"/>
    <x v="54"/>
    <x v="54"/>
    <x v="13"/>
    <x v="13"/>
    <x v="13"/>
    <x v="19"/>
    <x v="313"/>
    <x v="552"/>
    <x v="47"/>
    <x v="47"/>
    <x v="184"/>
    <x v="101"/>
    <x v="4"/>
  </r>
  <r>
    <x v="0"/>
    <x v="54"/>
    <x v="54"/>
    <x v="16"/>
    <x v="16"/>
    <x v="16"/>
    <x v="19"/>
    <x v="313"/>
    <x v="552"/>
    <x v="59"/>
    <x v="440"/>
    <x v="49"/>
    <x v="537"/>
    <x v="4"/>
  </r>
  <r>
    <x v="0"/>
    <x v="54"/>
    <x v="54"/>
    <x v="27"/>
    <x v="27"/>
    <x v="27"/>
    <x v="19"/>
    <x v="313"/>
    <x v="552"/>
    <x v="59"/>
    <x v="440"/>
    <x v="49"/>
    <x v="537"/>
    <x v="4"/>
  </r>
  <r>
    <x v="0"/>
    <x v="54"/>
    <x v="54"/>
    <x v="22"/>
    <x v="22"/>
    <x v="22"/>
    <x v="19"/>
    <x v="313"/>
    <x v="552"/>
    <x v="47"/>
    <x v="47"/>
    <x v="184"/>
    <x v="101"/>
    <x v="4"/>
  </r>
  <r>
    <x v="0"/>
    <x v="55"/>
    <x v="55"/>
    <x v="0"/>
    <x v="0"/>
    <x v="0"/>
    <x v="0"/>
    <x v="101"/>
    <x v="553"/>
    <x v="142"/>
    <x v="616"/>
    <x v="184"/>
    <x v="101"/>
    <x v="4"/>
  </r>
  <r>
    <x v="0"/>
    <x v="55"/>
    <x v="55"/>
    <x v="1"/>
    <x v="1"/>
    <x v="1"/>
    <x v="1"/>
    <x v="49"/>
    <x v="554"/>
    <x v="89"/>
    <x v="617"/>
    <x v="167"/>
    <x v="98"/>
    <x v="4"/>
  </r>
  <r>
    <x v="0"/>
    <x v="55"/>
    <x v="55"/>
    <x v="4"/>
    <x v="4"/>
    <x v="4"/>
    <x v="2"/>
    <x v="111"/>
    <x v="114"/>
    <x v="41"/>
    <x v="258"/>
    <x v="72"/>
    <x v="538"/>
    <x v="4"/>
  </r>
  <r>
    <x v="0"/>
    <x v="55"/>
    <x v="55"/>
    <x v="3"/>
    <x v="3"/>
    <x v="3"/>
    <x v="3"/>
    <x v="54"/>
    <x v="555"/>
    <x v="37"/>
    <x v="618"/>
    <x v="177"/>
    <x v="530"/>
    <x v="4"/>
  </r>
  <r>
    <x v="0"/>
    <x v="55"/>
    <x v="55"/>
    <x v="2"/>
    <x v="2"/>
    <x v="2"/>
    <x v="4"/>
    <x v="55"/>
    <x v="556"/>
    <x v="48"/>
    <x v="619"/>
    <x v="46"/>
    <x v="533"/>
    <x v="4"/>
  </r>
  <r>
    <x v="0"/>
    <x v="55"/>
    <x v="55"/>
    <x v="6"/>
    <x v="6"/>
    <x v="6"/>
    <x v="5"/>
    <x v="285"/>
    <x v="215"/>
    <x v="48"/>
    <x v="619"/>
    <x v="166"/>
    <x v="539"/>
    <x v="4"/>
  </r>
  <r>
    <x v="0"/>
    <x v="55"/>
    <x v="55"/>
    <x v="11"/>
    <x v="11"/>
    <x v="11"/>
    <x v="6"/>
    <x v="292"/>
    <x v="385"/>
    <x v="37"/>
    <x v="618"/>
    <x v="49"/>
    <x v="537"/>
    <x v="4"/>
  </r>
  <r>
    <x v="0"/>
    <x v="55"/>
    <x v="55"/>
    <x v="9"/>
    <x v="9"/>
    <x v="9"/>
    <x v="7"/>
    <x v="287"/>
    <x v="521"/>
    <x v="34"/>
    <x v="620"/>
    <x v="212"/>
    <x v="536"/>
    <x v="4"/>
  </r>
  <r>
    <x v="0"/>
    <x v="55"/>
    <x v="55"/>
    <x v="5"/>
    <x v="5"/>
    <x v="5"/>
    <x v="8"/>
    <x v="299"/>
    <x v="536"/>
    <x v="50"/>
    <x v="38"/>
    <x v="177"/>
    <x v="530"/>
    <x v="4"/>
  </r>
  <r>
    <x v="0"/>
    <x v="55"/>
    <x v="55"/>
    <x v="10"/>
    <x v="10"/>
    <x v="10"/>
    <x v="9"/>
    <x v="309"/>
    <x v="82"/>
    <x v="41"/>
    <x v="258"/>
    <x v="184"/>
    <x v="101"/>
    <x v="4"/>
  </r>
  <r>
    <x v="0"/>
    <x v="55"/>
    <x v="55"/>
    <x v="25"/>
    <x v="25"/>
    <x v="25"/>
    <x v="10"/>
    <x v="310"/>
    <x v="161"/>
    <x v="51"/>
    <x v="260"/>
    <x v="167"/>
    <x v="98"/>
    <x v="4"/>
  </r>
  <r>
    <x v="0"/>
    <x v="55"/>
    <x v="55"/>
    <x v="8"/>
    <x v="8"/>
    <x v="8"/>
    <x v="11"/>
    <x v="311"/>
    <x v="36"/>
    <x v="33"/>
    <x v="14"/>
    <x v="212"/>
    <x v="536"/>
    <x v="4"/>
  </r>
  <r>
    <x v="0"/>
    <x v="55"/>
    <x v="55"/>
    <x v="15"/>
    <x v="15"/>
    <x v="15"/>
    <x v="11"/>
    <x v="311"/>
    <x v="36"/>
    <x v="51"/>
    <x v="260"/>
    <x v="179"/>
    <x v="322"/>
    <x v="4"/>
  </r>
  <r>
    <x v="0"/>
    <x v="55"/>
    <x v="55"/>
    <x v="13"/>
    <x v="13"/>
    <x v="13"/>
    <x v="11"/>
    <x v="311"/>
    <x v="36"/>
    <x v="51"/>
    <x v="260"/>
    <x v="179"/>
    <x v="322"/>
    <x v="4"/>
  </r>
  <r>
    <x v="0"/>
    <x v="55"/>
    <x v="55"/>
    <x v="16"/>
    <x v="16"/>
    <x v="16"/>
    <x v="11"/>
    <x v="311"/>
    <x v="36"/>
    <x v="59"/>
    <x v="427"/>
    <x v="184"/>
    <x v="101"/>
    <x v="4"/>
  </r>
  <r>
    <x v="0"/>
    <x v="55"/>
    <x v="55"/>
    <x v="7"/>
    <x v="7"/>
    <x v="7"/>
    <x v="11"/>
    <x v="311"/>
    <x v="36"/>
    <x v="41"/>
    <x v="258"/>
    <x v="49"/>
    <x v="537"/>
    <x v="4"/>
  </r>
  <r>
    <x v="0"/>
    <x v="55"/>
    <x v="55"/>
    <x v="20"/>
    <x v="20"/>
    <x v="20"/>
    <x v="11"/>
    <x v="311"/>
    <x v="36"/>
    <x v="47"/>
    <x v="47"/>
    <x v="179"/>
    <x v="322"/>
    <x v="0"/>
  </r>
  <r>
    <x v="0"/>
    <x v="55"/>
    <x v="55"/>
    <x v="18"/>
    <x v="18"/>
    <x v="18"/>
    <x v="17"/>
    <x v="312"/>
    <x v="265"/>
    <x v="59"/>
    <x v="427"/>
    <x v="212"/>
    <x v="536"/>
    <x v="4"/>
  </r>
  <r>
    <x v="0"/>
    <x v="55"/>
    <x v="55"/>
    <x v="19"/>
    <x v="19"/>
    <x v="19"/>
    <x v="17"/>
    <x v="312"/>
    <x v="265"/>
    <x v="47"/>
    <x v="47"/>
    <x v="179"/>
    <x v="322"/>
    <x v="4"/>
  </r>
  <r>
    <x v="0"/>
    <x v="55"/>
    <x v="55"/>
    <x v="12"/>
    <x v="12"/>
    <x v="12"/>
    <x v="19"/>
    <x v="313"/>
    <x v="557"/>
    <x v="47"/>
    <x v="47"/>
    <x v="184"/>
    <x v="101"/>
    <x v="4"/>
  </r>
  <r>
    <x v="0"/>
    <x v="55"/>
    <x v="55"/>
    <x v="23"/>
    <x v="23"/>
    <x v="23"/>
    <x v="19"/>
    <x v="313"/>
    <x v="557"/>
    <x v="51"/>
    <x v="260"/>
    <x v="212"/>
    <x v="536"/>
    <x v="4"/>
  </r>
  <r>
    <x v="0"/>
    <x v="55"/>
    <x v="55"/>
    <x v="37"/>
    <x v="37"/>
    <x v="37"/>
    <x v="19"/>
    <x v="313"/>
    <x v="557"/>
    <x v="51"/>
    <x v="260"/>
    <x v="212"/>
    <x v="536"/>
    <x v="4"/>
  </r>
  <r>
    <x v="0"/>
    <x v="56"/>
    <x v="56"/>
    <x v="4"/>
    <x v="4"/>
    <x v="4"/>
    <x v="0"/>
    <x v="89"/>
    <x v="558"/>
    <x v="77"/>
    <x v="621"/>
    <x v="104"/>
    <x v="540"/>
    <x v="4"/>
  </r>
  <r>
    <x v="0"/>
    <x v="56"/>
    <x v="56"/>
    <x v="1"/>
    <x v="1"/>
    <x v="1"/>
    <x v="1"/>
    <x v="47"/>
    <x v="559"/>
    <x v="35"/>
    <x v="622"/>
    <x v="179"/>
    <x v="285"/>
    <x v="4"/>
  </r>
  <r>
    <x v="0"/>
    <x v="56"/>
    <x v="56"/>
    <x v="0"/>
    <x v="0"/>
    <x v="0"/>
    <x v="2"/>
    <x v="101"/>
    <x v="560"/>
    <x v="80"/>
    <x v="623"/>
    <x v="177"/>
    <x v="166"/>
    <x v="4"/>
  </r>
  <r>
    <x v="0"/>
    <x v="56"/>
    <x v="56"/>
    <x v="2"/>
    <x v="2"/>
    <x v="2"/>
    <x v="3"/>
    <x v="71"/>
    <x v="561"/>
    <x v="84"/>
    <x v="624"/>
    <x v="177"/>
    <x v="166"/>
    <x v="0"/>
  </r>
  <r>
    <x v="0"/>
    <x v="56"/>
    <x v="56"/>
    <x v="5"/>
    <x v="5"/>
    <x v="5"/>
    <x v="4"/>
    <x v="146"/>
    <x v="89"/>
    <x v="58"/>
    <x v="625"/>
    <x v="51"/>
    <x v="541"/>
    <x v="4"/>
  </r>
  <r>
    <x v="0"/>
    <x v="56"/>
    <x v="56"/>
    <x v="3"/>
    <x v="3"/>
    <x v="3"/>
    <x v="5"/>
    <x v="119"/>
    <x v="562"/>
    <x v="45"/>
    <x v="63"/>
    <x v="46"/>
    <x v="542"/>
    <x v="4"/>
  </r>
  <r>
    <x v="0"/>
    <x v="56"/>
    <x v="56"/>
    <x v="8"/>
    <x v="8"/>
    <x v="8"/>
    <x v="6"/>
    <x v="112"/>
    <x v="563"/>
    <x v="157"/>
    <x v="626"/>
    <x v="47"/>
    <x v="210"/>
    <x v="4"/>
  </r>
  <r>
    <x v="0"/>
    <x v="56"/>
    <x v="56"/>
    <x v="6"/>
    <x v="6"/>
    <x v="6"/>
    <x v="7"/>
    <x v="54"/>
    <x v="564"/>
    <x v="49"/>
    <x v="500"/>
    <x v="112"/>
    <x v="543"/>
    <x v="4"/>
  </r>
  <r>
    <x v="0"/>
    <x v="56"/>
    <x v="56"/>
    <x v="7"/>
    <x v="7"/>
    <x v="7"/>
    <x v="8"/>
    <x v="56"/>
    <x v="248"/>
    <x v="34"/>
    <x v="627"/>
    <x v="184"/>
    <x v="476"/>
    <x v="4"/>
  </r>
  <r>
    <x v="0"/>
    <x v="56"/>
    <x v="56"/>
    <x v="13"/>
    <x v="13"/>
    <x v="13"/>
    <x v="9"/>
    <x v="292"/>
    <x v="565"/>
    <x v="100"/>
    <x v="400"/>
    <x v="46"/>
    <x v="542"/>
    <x v="4"/>
  </r>
  <r>
    <x v="0"/>
    <x v="56"/>
    <x v="56"/>
    <x v="11"/>
    <x v="11"/>
    <x v="11"/>
    <x v="10"/>
    <x v="287"/>
    <x v="299"/>
    <x v="67"/>
    <x v="172"/>
    <x v="179"/>
    <x v="285"/>
    <x v="4"/>
  </r>
  <r>
    <x v="0"/>
    <x v="56"/>
    <x v="56"/>
    <x v="9"/>
    <x v="9"/>
    <x v="9"/>
    <x v="11"/>
    <x v="288"/>
    <x v="283"/>
    <x v="96"/>
    <x v="628"/>
    <x v="212"/>
    <x v="208"/>
    <x v="4"/>
  </r>
  <r>
    <x v="0"/>
    <x v="56"/>
    <x v="56"/>
    <x v="10"/>
    <x v="10"/>
    <x v="10"/>
    <x v="12"/>
    <x v="308"/>
    <x v="334"/>
    <x v="49"/>
    <x v="500"/>
    <x v="212"/>
    <x v="208"/>
    <x v="4"/>
  </r>
  <r>
    <x v="0"/>
    <x v="56"/>
    <x v="56"/>
    <x v="16"/>
    <x v="16"/>
    <x v="16"/>
    <x v="12"/>
    <x v="308"/>
    <x v="334"/>
    <x v="33"/>
    <x v="427"/>
    <x v="167"/>
    <x v="59"/>
    <x v="0"/>
  </r>
  <r>
    <x v="0"/>
    <x v="56"/>
    <x v="56"/>
    <x v="28"/>
    <x v="28"/>
    <x v="28"/>
    <x v="14"/>
    <x v="309"/>
    <x v="175"/>
    <x v="41"/>
    <x v="74"/>
    <x v="184"/>
    <x v="476"/>
    <x v="4"/>
  </r>
  <r>
    <x v="0"/>
    <x v="56"/>
    <x v="56"/>
    <x v="12"/>
    <x v="12"/>
    <x v="12"/>
    <x v="15"/>
    <x v="310"/>
    <x v="19"/>
    <x v="51"/>
    <x v="553"/>
    <x v="167"/>
    <x v="59"/>
    <x v="4"/>
  </r>
  <r>
    <x v="0"/>
    <x v="56"/>
    <x v="56"/>
    <x v="14"/>
    <x v="14"/>
    <x v="14"/>
    <x v="15"/>
    <x v="310"/>
    <x v="19"/>
    <x v="100"/>
    <x v="400"/>
    <x v="49"/>
    <x v="451"/>
    <x v="4"/>
  </r>
  <r>
    <x v="0"/>
    <x v="56"/>
    <x v="56"/>
    <x v="20"/>
    <x v="20"/>
    <x v="20"/>
    <x v="15"/>
    <x v="310"/>
    <x v="19"/>
    <x v="47"/>
    <x v="47"/>
    <x v="179"/>
    <x v="285"/>
    <x v="4"/>
  </r>
  <r>
    <x v="0"/>
    <x v="56"/>
    <x v="56"/>
    <x v="26"/>
    <x v="26"/>
    <x v="26"/>
    <x v="18"/>
    <x v="311"/>
    <x v="444"/>
    <x v="51"/>
    <x v="553"/>
    <x v="179"/>
    <x v="285"/>
    <x v="4"/>
  </r>
  <r>
    <x v="0"/>
    <x v="56"/>
    <x v="56"/>
    <x v="18"/>
    <x v="18"/>
    <x v="18"/>
    <x v="18"/>
    <x v="311"/>
    <x v="444"/>
    <x v="51"/>
    <x v="553"/>
    <x v="179"/>
    <x v="285"/>
    <x v="4"/>
  </r>
  <r>
    <x v="0"/>
    <x v="56"/>
    <x v="56"/>
    <x v="15"/>
    <x v="15"/>
    <x v="15"/>
    <x v="18"/>
    <x v="311"/>
    <x v="444"/>
    <x v="51"/>
    <x v="553"/>
    <x v="179"/>
    <x v="285"/>
    <x v="4"/>
  </r>
  <r>
    <x v="0"/>
    <x v="56"/>
    <x v="56"/>
    <x v="37"/>
    <x v="37"/>
    <x v="37"/>
    <x v="18"/>
    <x v="311"/>
    <x v="444"/>
    <x v="51"/>
    <x v="553"/>
    <x v="184"/>
    <x v="476"/>
    <x v="4"/>
  </r>
  <r>
    <x v="0"/>
    <x v="57"/>
    <x v="57"/>
    <x v="0"/>
    <x v="0"/>
    <x v="0"/>
    <x v="0"/>
    <x v="67"/>
    <x v="548"/>
    <x v="97"/>
    <x v="629"/>
    <x v="177"/>
    <x v="544"/>
    <x v="4"/>
  </r>
  <r>
    <x v="0"/>
    <x v="57"/>
    <x v="57"/>
    <x v="1"/>
    <x v="1"/>
    <x v="1"/>
    <x v="1"/>
    <x v="223"/>
    <x v="532"/>
    <x v="55"/>
    <x v="630"/>
    <x v="166"/>
    <x v="545"/>
    <x v="4"/>
  </r>
  <r>
    <x v="0"/>
    <x v="57"/>
    <x v="57"/>
    <x v="5"/>
    <x v="5"/>
    <x v="5"/>
    <x v="2"/>
    <x v="254"/>
    <x v="403"/>
    <x v="72"/>
    <x v="631"/>
    <x v="101"/>
    <x v="546"/>
    <x v="4"/>
  </r>
  <r>
    <x v="0"/>
    <x v="57"/>
    <x v="57"/>
    <x v="4"/>
    <x v="4"/>
    <x v="4"/>
    <x v="3"/>
    <x v="100"/>
    <x v="566"/>
    <x v="157"/>
    <x v="154"/>
    <x v="89"/>
    <x v="547"/>
    <x v="4"/>
  </r>
  <r>
    <x v="0"/>
    <x v="57"/>
    <x v="57"/>
    <x v="8"/>
    <x v="8"/>
    <x v="8"/>
    <x v="4"/>
    <x v="90"/>
    <x v="534"/>
    <x v="104"/>
    <x v="557"/>
    <x v="62"/>
    <x v="548"/>
    <x v="4"/>
  </r>
  <r>
    <x v="0"/>
    <x v="57"/>
    <x v="57"/>
    <x v="2"/>
    <x v="2"/>
    <x v="2"/>
    <x v="5"/>
    <x v="118"/>
    <x v="562"/>
    <x v="72"/>
    <x v="631"/>
    <x v="55"/>
    <x v="369"/>
    <x v="4"/>
  </r>
  <r>
    <x v="0"/>
    <x v="57"/>
    <x v="57"/>
    <x v="7"/>
    <x v="7"/>
    <x v="7"/>
    <x v="6"/>
    <x v="221"/>
    <x v="290"/>
    <x v="89"/>
    <x v="632"/>
    <x v="167"/>
    <x v="394"/>
    <x v="4"/>
  </r>
  <r>
    <x v="0"/>
    <x v="57"/>
    <x v="57"/>
    <x v="3"/>
    <x v="3"/>
    <x v="3"/>
    <x v="7"/>
    <x v="49"/>
    <x v="350"/>
    <x v="103"/>
    <x v="39"/>
    <x v="166"/>
    <x v="545"/>
    <x v="4"/>
  </r>
  <r>
    <x v="0"/>
    <x v="57"/>
    <x v="57"/>
    <x v="11"/>
    <x v="11"/>
    <x v="11"/>
    <x v="8"/>
    <x v="120"/>
    <x v="29"/>
    <x v="45"/>
    <x v="633"/>
    <x v="177"/>
    <x v="544"/>
    <x v="4"/>
  </r>
  <r>
    <x v="0"/>
    <x v="57"/>
    <x v="57"/>
    <x v="9"/>
    <x v="9"/>
    <x v="9"/>
    <x v="8"/>
    <x v="120"/>
    <x v="29"/>
    <x v="77"/>
    <x v="627"/>
    <x v="212"/>
    <x v="172"/>
    <x v="4"/>
  </r>
  <r>
    <x v="0"/>
    <x v="57"/>
    <x v="57"/>
    <x v="6"/>
    <x v="6"/>
    <x v="6"/>
    <x v="10"/>
    <x v="54"/>
    <x v="389"/>
    <x v="48"/>
    <x v="634"/>
    <x v="54"/>
    <x v="549"/>
    <x v="4"/>
  </r>
  <r>
    <x v="0"/>
    <x v="57"/>
    <x v="57"/>
    <x v="10"/>
    <x v="10"/>
    <x v="10"/>
    <x v="11"/>
    <x v="55"/>
    <x v="470"/>
    <x v="34"/>
    <x v="635"/>
    <x v="47"/>
    <x v="161"/>
    <x v="4"/>
  </r>
  <r>
    <x v="0"/>
    <x v="57"/>
    <x v="57"/>
    <x v="32"/>
    <x v="32"/>
    <x v="32"/>
    <x v="12"/>
    <x v="287"/>
    <x v="334"/>
    <x v="49"/>
    <x v="636"/>
    <x v="47"/>
    <x v="161"/>
    <x v="4"/>
  </r>
  <r>
    <x v="0"/>
    <x v="57"/>
    <x v="57"/>
    <x v="41"/>
    <x v="41"/>
    <x v="41"/>
    <x v="12"/>
    <x v="287"/>
    <x v="334"/>
    <x v="100"/>
    <x v="375"/>
    <x v="166"/>
    <x v="545"/>
    <x v="4"/>
  </r>
  <r>
    <x v="0"/>
    <x v="57"/>
    <x v="57"/>
    <x v="13"/>
    <x v="13"/>
    <x v="13"/>
    <x v="14"/>
    <x v="299"/>
    <x v="123"/>
    <x v="100"/>
    <x v="375"/>
    <x v="47"/>
    <x v="161"/>
    <x v="4"/>
  </r>
  <r>
    <x v="0"/>
    <x v="57"/>
    <x v="57"/>
    <x v="38"/>
    <x v="38"/>
    <x v="38"/>
    <x v="15"/>
    <x v="307"/>
    <x v="112"/>
    <x v="100"/>
    <x v="375"/>
    <x v="167"/>
    <x v="394"/>
    <x v="4"/>
  </r>
  <r>
    <x v="0"/>
    <x v="57"/>
    <x v="57"/>
    <x v="18"/>
    <x v="18"/>
    <x v="18"/>
    <x v="15"/>
    <x v="307"/>
    <x v="112"/>
    <x v="100"/>
    <x v="375"/>
    <x v="167"/>
    <x v="394"/>
    <x v="4"/>
  </r>
  <r>
    <x v="0"/>
    <x v="57"/>
    <x v="57"/>
    <x v="14"/>
    <x v="14"/>
    <x v="14"/>
    <x v="15"/>
    <x v="307"/>
    <x v="112"/>
    <x v="41"/>
    <x v="29"/>
    <x v="177"/>
    <x v="544"/>
    <x v="4"/>
  </r>
  <r>
    <x v="0"/>
    <x v="57"/>
    <x v="57"/>
    <x v="30"/>
    <x v="30"/>
    <x v="30"/>
    <x v="18"/>
    <x v="308"/>
    <x v="344"/>
    <x v="50"/>
    <x v="230"/>
    <x v="184"/>
    <x v="312"/>
    <x v="4"/>
  </r>
  <r>
    <x v="0"/>
    <x v="57"/>
    <x v="57"/>
    <x v="12"/>
    <x v="12"/>
    <x v="12"/>
    <x v="18"/>
    <x v="308"/>
    <x v="344"/>
    <x v="100"/>
    <x v="375"/>
    <x v="179"/>
    <x v="512"/>
    <x v="4"/>
  </r>
  <r>
    <x v="0"/>
    <x v="57"/>
    <x v="57"/>
    <x v="21"/>
    <x v="21"/>
    <x v="21"/>
    <x v="18"/>
    <x v="308"/>
    <x v="344"/>
    <x v="41"/>
    <x v="29"/>
    <x v="167"/>
    <x v="394"/>
    <x v="4"/>
  </r>
  <r>
    <x v="0"/>
    <x v="57"/>
    <x v="57"/>
    <x v="16"/>
    <x v="16"/>
    <x v="16"/>
    <x v="18"/>
    <x v="308"/>
    <x v="344"/>
    <x v="50"/>
    <x v="230"/>
    <x v="184"/>
    <x v="312"/>
    <x v="4"/>
  </r>
  <r>
    <x v="0"/>
    <x v="58"/>
    <x v="58"/>
    <x v="3"/>
    <x v="3"/>
    <x v="3"/>
    <x v="0"/>
    <x v="88"/>
    <x v="567"/>
    <x v="103"/>
    <x v="637"/>
    <x v="50"/>
    <x v="550"/>
    <x v="4"/>
  </r>
  <r>
    <x v="0"/>
    <x v="58"/>
    <x v="58"/>
    <x v="4"/>
    <x v="4"/>
    <x v="4"/>
    <x v="1"/>
    <x v="46"/>
    <x v="568"/>
    <x v="31"/>
    <x v="638"/>
    <x v="110"/>
    <x v="551"/>
    <x v="4"/>
  </r>
  <r>
    <x v="0"/>
    <x v="58"/>
    <x v="58"/>
    <x v="1"/>
    <x v="1"/>
    <x v="1"/>
    <x v="2"/>
    <x v="102"/>
    <x v="569"/>
    <x v="80"/>
    <x v="639"/>
    <x v="212"/>
    <x v="131"/>
    <x v="4"/>
  </r>
  <r>
    <x v="0"/>
    <x v="58"/>
    <x v="58"/>
    <x v="0"/>
    <x v="0"/>
    <x v="0"/>
    <x v="3"/>
    <x v="72"/>
    <x v="570"/>
    <x v="162"/>
    <x v="640"/>
    <x v="184"/>
    <x v="351"/>
    <x v="4"/>
  </r>
  <r>
    <x v="0"/>
    <x v="58"/>
    <x v="58"/>
    <x v="6"/>
    <x v="6"/>
    <x v="6"/>
    <x v="4"/>
    <x v="73"/>
    <x v="571"/>
    <x v="34"/>
    <x v="538"/>
    <x v="108"/>
    <x v="552"/>
    <x v="4"/>
  </r>
  <r>
    <x v="0"/>
    <x v="58"/>
    <x v="58"/>
    <x v="12"/>
    <x v="12"/>
    <x v="12"/>
    <x v="5"/>
    <x v="111"/>
    <x v="572"/>
    <x v="100"/>
    <x v="641"/>
    <x v="108"/>
    <x v="552"/>
    <x v="4"/>
  </r>
  <r>
    <x v="0"/>
    <x v="58"/>
    <x v="58"/>
    <x v="17"/>
    <x v="17"/>
    <x v="17"/>
    <x v="6"/>
    <x v="120"/>
    <x v="328"/>
    <x v="34"/>
    <x v="538"/>
    <x v="166"/>
    <x v="84"/>
    <x v="4"/>
  </r>
  <r>
    <x v="0"/>
    <x v="58"/>
    <x v="58"/>
    <x v="11"/>
    <x v="11"/>
    <x v="11"/>
    <x v="7"/>
    <x v="285"/>
    <x v="8"/>
    <x v="37"/>
    <x v="642"/>
    <x v="179"/>
    <x v="403"/>
    <x v="4"/>
  </r>
  <r>
    <x v="0"/>
    <x v="58"/>
    <x v="58"/>
    <x v="5"/>
    <x v="5"/>
    <x v="5"/>
    <x v="7"/>
    <x v="285"/>
    <x v="8"/>
    <x v="49"/>
    <x v="643"/>
    <x v="54"/>
    <x v="492"/>
    <x v="4"/>
  </r>
  <r>
    <x v="0"/>
    <x v="58"/>
    <x v="58"/>
    <x v="7"/>
    <x v="7"/>
    <x v="7"/>
    <x v="9"/>
    <x v="287"/>
    <x v="261"/>
    <x v="67"/>
    <x v="370"/>
    <x v="184"/>
    <x v="351"/>
    <x v="4"/>
  </r>
  <r>
    <x v="0"/>
    <x v="58"/>
    <x v="58"/>
    <x v="28"/>
    <x v="28"/>
    <x v="28"/>
    <x v="10"/>
    <x v="288"/>
    <x v="147"/>
    <x v="49"/>
    <x v="643"/>
    <x v="177"/>
    <x v="285"/>
    <x v="4"/>
  </r>
  <r>
    <x v="0"/>
    <x v="58"/>
    <x v="58"/>
    <x v="9"/>
    <x v="9"/>
    <x v="9"/>
    <x v="11"/>
    <x v="306"/>
    <x v="573"/>
    <x v="68"/>
    <x v="644"/>
    <x v="184"/>
    <x v="351"/>
    <x v="4"/>
  </r>
  <r>
    <x v="0"/>
    <x v="58"/>
    <x v="58"/>
    <x v="23"/>
    <x v="23"/>
    <x v="23"/>
    <x v="12"/>
    <x v="307"/>
    <x v="417"/>
    <x v="59"/>
    <x v="376"/>
    <x v="128"/>
    <x v="553"/>
    <x v="4"/>
  </r>
  <r>
    <x v="0"/>
    <x v="58"/>
    <x v="58"/>
    <x v="8"/>
    <x v="8"/>
    <x v="8"/>
    <x v="12"/>
    <x v="307"/>
    <x v="417"/>
    <x v="68"/>
    <x v="644"/>
    <x v="212"/>
    <x v="131"/>
    <x v="4"/>
  </r>
  <r>
    <x v="0"/>
    <x v="58"/>
    <x v="58"/>
    <x v="31"/>
    <x v="31"/>
    <x v="31"/>
    <x v="14"/>
    <x v="314"/>
    <x v="175"/>
    <x v="33"/>
    <x v="235"/>
    <x v="167"/>
    <x v="34"/>
    <x v="4"/>
  </r>
  <r>
    <x v="0"/>
    <x v="58"/>
    <x v="58"/>
    <x v="19"/>
    <x v="19"/>
    <x v="19"/>
    <x v="14"/>
    <x v="314"/>
    <x v="175"/>
    <x v="51"/>
    <x v="645"/>
    <x v="47"/>
    <x v="26"/>
    <x v="4"/>
  </r>
  <r>
    <x v="0"/>
    <x v="58"/>
    <x v="58"/>
    <x v="18"/>
    <x v="18"/>
    <x v="18"/>
    <x v="16"/>
    <x v="309"/>
    <x v="125"/>
    <x v="59"/>
    <x v="376"/>
    <x v="167"/>
    <x v="34"/>
    <x v="4"/>
  </r>
  <r>
    <x v="0"/>
    <x v="58"/>
    <x v="58"/>
    <x v="42"/>
    <x v="42"/>
    <x v="42"/>
    <x v="16"/>
    <x v="309"/>
    <x v="125"/>
    <x v="47"/>
    <x v="47"/>
    <x v="47"/>
    <x v="26"/>
    <x v="4"/>
  </r>
  <r>
    <x v="0"/>
    <x v="58"/>
    <x v="58"/>
    <x v="13"/>
    <x v="13"/>
    <x v="13"/>
    <x v="16"/>
    <x v="309"/>
    <x v="125"/>
    <x v="51"/>
    <x v="645"/>
    <x v="177"/>
    <x v="285"/>
    <x v="4"/>
  </r>
  <r>
    <x v="0"/>
    <x v="58"/>
    <x v="58"/>
    <x v="43"/>
    <x v="43"/>
    <x v="43"/>
    <x v="19"/>
    <x v="310"/>
    <x v="284"/>
    <x v="51"/>
    <x v="645"/>
    <x v="167"/>
    <x v="34"/>
    <x v="4"/>
  </r>
  <r>
    <x v="0"/>
    <x v="58"/>
    <x v="58"/>
    <x v="24"/>
    <x v="24"/>
    <x v="24"/>
    <x v="19"/>
    <x v="310"/>
    <x v="284"/>
    <x v="33"/>
    <x v="235"/>
    <x v="184"/>
    <x v="351"/>
    <x v="4"/>
  </r>
  <r>
    <x v="0"/>
    <x v="58"/>
    <x v="58"/>
    <x v="14"/>
    <x v="14"/>
    <x v="14"/>
    <x v="19"/>
    <x v="310"/>
    <x v="284"/>
    <x v="41"/>
    <x v="246"/>
    <x v="212"/>
    <x v="131"/>
    <x v="4"/>
  </r>
  <r>
    <x v="0"/>
    <x v="58"/>
    <x v="58"/>
    <x v="15"/>
    <x v="15"/>
    <x v="15"/>
    <x v="19"/>
    <x v="310"/>
    <x v="284"/>
    <x v="51"/>
    <x v="645"/>
    <x v="167"/>
    <x v="34"/>
    <x v="4"/>
  </r>
  <r>
    <x v="0"/>
    <x v="58"/>
    <x v="58"/>
    <x v="2"/>
    <x v="2"/>
    <x v="2"/>
    <x v="19"/>
    <x v="310"/>
    <x v="284"/>
    <x v="47"/>
    <x v="47"/>
    <x v="177"/>
    <x v="285"/>
    <x v="4"/>
  </r>
  <r>
    <x v="0"/>
    <x v="58"/>
    <x v="58"/>
    <x v="10"/>
    <x v="10"/>
    <x v="10"/>
    <x v="19"/>
    <x v="310"/>
    <x v="284"/>
    <x v="59"/>
    <x v="376"/>
    <x v="179"/>
    <x v="403"/>
    <x v="4"/>
  </r>
  <r>
    <x v="0"/>
    <x v="59"/>
    <x v="59"/>
    <x v="4"/>
    <x v="4"/>
    <x v="4"/>
    <x v="0"/>
    <x v="88"/>
    <x v="574"/>
    <x v="103"/>
    <x v="646"/>
    <x v="50"/>
    <x v="554"/>
    <x v="4"/>
  </r>
  <r>
    <x v="0"/>
    <x v="59"/>
    <x v="59"/>
    <x v="3"/>
    <x v="3"/>
    <x v="3"/>
    <x v="1"/>
    <x v="241"/>
    <x v="575"/>
    <x v="89"/>
    <x v="647"/>
    <x v="74"/>
    <x v="555"/>
    <x v="4"/>
  </r>
  <r>
    <x v="0"/>
    <x v="59"/>
    <x v="59"/>
    <x v="1"/>
    <x v="1"/>
    <x v="1"/>
    <x v="2"/>
    <x v="73"/>
    <x v="576"/>
    <x v="105"/>
    <x v="648"/>
    <x v="179"/>
    <x v="114"/>
    <x v="4"/>
  </r>
  <r>
    <x v="0"/>
    <x v="59"/>
    <x v="59"/>
    <x v="0"/>
    <x v="0"/>
    <x v="0"/>
    <x v="3"/>
    <x v="52"/>
    <x v="577"/>
    <x v="65"/>
    <x v="649"/>
    <x v="213"/>
    <x v="534"/>
    <x v="4"/>
  </r>
  <r>
    <x v="0"/>
    <x v="59"/>
    <x v="59"/>
    <x v="6"/>
    <x v="6"/>
    <x v="6"/>
    <x v="4"/>
    <x v="112"/>
    <x v="578"/>
    <x v="67"/>
    <x v="650"/>
    <x v="51"/>
    <x v="490"/>
    <x v="4"/>
  </r>
  <r>
    <x v="0"/>
    <x v="59"/>
    <x v="59"/>
    <x v="5"/>
    <x v="5"/>
    <x v="5"/>
    <x v="5"/>
    <x v="53"/>
    <x v="579"/>
    <x v="67"/>
    <x v="650"/>
    <x v="62"/>
    <x v="491"/>
    <x v="4"/>
  </r>
  <r>
    <x v="0"/>
    <x v="59"/>
    <x v="59"/>
    <x v="11"/>
    <x v="11"/>
    <x v="11"/>
    <x v="6"/>
    <x v="56"/>
    <x v="449"/>
    <x v="34"/>
    <x v="339"/>
    <x v="179"/>
    <x v="114"/>
    <x v="4"/>
  </r>
  <r>
    <x v="0"/>
    <x v="59"/>
    <x v="59"/>
    <x v="8"/>
    <x v="8"/>
    <x v="8"/>
    <x v="7"/>
    <x v="287"/>
    <x v="580"/>
    <x v="67"/>
    <x v="650"/>
    <x v="179"/>
    <x v="114"/>
    <x v="4"/>
  </r>
  <r>
    <x v="0"/>
    <x v="59"/>
    <x v="59"/>
    <x v="17"/>
    <x v="17"/>
    <x v="17"/>
    <x v="7"/>
    <x v="287"/>
    <x v="580"/>
    <x v="67"/>
    <x v="650"/>
    <x v="179"/>
    <x v="114"/>
    <x v="4"/>
  </r>
  <r>
    <x v="0"/>
    <x v="59"/>
    <x v="59"/>
    <x v="2"/>
    <x v="2"/>
    <x v="2"/>
    <x v="9"/>
    <x v="307"/>
    <x v="581"/>
    <x v="47"/>
    <x v="47"/>
    <x v="46"/>
    <x v="487"/>
    <x v="4"/>
  </r>
  <r>
    <x v="0"/>
    <x v="59"/>
    <x v="59"/>
    <x v="12"/>
    <x v="12"/>
    <x v="12"/>
    <x v="10"/>
    <x v="308"/>
    <x v="110"/>
    <x v="51"/>
    <x v="62"/>
    <x v="128"/>
    <x v="492"/>
    <x v="4"/>
  </r>
  <r>
    <x v="0"/>
    <x v="59"/>
    <x v="59"/>
    <x v="38"/>
    <x v="38"/>
    <x v="38"/>
    <x v="10"/>
    <x v="308"/>
    <x v="110"/>
    <x v="33"/>
    <x v="97"/>
    <x v="177"/>
    <x v="78"/>
    <x v="4"/>
  </r>
  <r>
    <x v="0"/>
    <x v="59"/>
    <x v="59"/>
    <x v="18"/>
    <x v="18"/>
    <x v="18"/>
    <x v="12"/>
    <x v="309"/>
    <x v="211"/>
    <x v="59"/>
    <x v="579"/>
    <x v="167"/>
    <x v="132"/>
    <x v="4"/>
  </r>
  <r>
    <x v="0"/>
    <x v="59"/>
    <x v="59"/>
    <x v="21"/>
    <x v="21"/>
    <x v="21"/>
    <x v="12"/>
    <x v="309"/>
    <x v="211"/>
    <x v="47"/>
    <x v="47"/>
    <x v="47"/>
    <x v="21"/>
    <x v="4"/>
  </r>
  <r>
    <x v="0"/>
    <x v="59"/>
    <x v="59"/>
    <x v="10"/>
    <x v="10"/>
    <x v="10"/>
    <x v="12"/>
    <x v="309"/>
    <x v="211"/>
    <x v="50"/>
    <x v="651"/>
    <x v="49"/>
    <x v="556"/>
    <x v="4"/>
  </r>
  <r>
    <x v="0"/>
    <x v="59"/>
    <x v="59"/>
    <x v="7"/>
    <x v="7"/>
    <x v="7"/>
    <x v="12"/>
    <x v="309"/>
    <x v="211"/>
    <x v="50"/>
    <x v="651"/>
    <x v="213"/>
    <x v="534"/>
    <x v="0"/>
  </r>
  <r>
    <x v="0"/>
    <x v="59"/>
    <x v="59"/>
    <x v="9"/>
    <x v="9"/>
    <x v="9"/>
    <x v="12"/>
    <x v="309"/>
    <x v="211"/>
    <x v="50"/>
    <x v="651"/>
    <x v="49"/>
    <x v="556"/>
    <x v="4"/>
  </r>
  <r>
    <x v="0"/>
    <x v="59"/>
    <x v="59"/>
    <x v="22"/>
    <x v="22"/>
    <x v="22"/>
    <x v="12"/>
    <x v="309"/>
    <x v="211"/>
    <x v="47"/>
    <x v="47"/>
    <x v="47"/>
    <x v="21"/>
    <x v="4"/>
  </r>
  <r>
    <x v="0"/>
    <x v="59"/>
    <x v="59"/>
    <x v="41"/>
    <x v="41"/>
    <x v="41"/>
    <x v="18"/>
    <x v="310"/>
    <x v="200"/>
    <x v="59"/>
    <x v="579"/>
    <x v="179"/>
    <x v="114"/>
    <x v="4"/>
  </r>
  <r>
    <x v="0"/>
    <x v="59"/>
    <x v="59"/>
    <x v="29"/>
    <x v="29"/>
    <x v="29"/>
    <x v="19"/>
    <x v="311"/>
    <x v="252"/>
    <x v="51"/>
    <x v="62"/>
    <x v="179"/>
    <x v="114"/>
    <x v="4"/>
  </r>
  <r>
    <x v="0"/>
    <x v="59"/>
    <x v="59"/>
    <x v="20"/>
    <x v="20"/>
    <x v="20"/>
    <x v="19"/>
    <x v="311"/>
    <x v="252"/>
    <x v="47"/>
    <x v="47"/>
    <x v="179"/>
    <x v="114"/>
    <x v="4"/>
  </r>
  <r>
    <x v="0"/>
    <x v="60"/>
    <x v="60"/>
    <x v="4"/>
    <x v="4"/>
    <x v="4"/>
    <x v="0"/>
    <x v="50"/>
    <x v="582"/>
    <x v="34"/>
    <x v="652"/>
    <x v="74"/>
    <x v="557"/>
    <x v="4"/>
  </r>
  <r>
    <x v="0"/>
    <x v="60"/>
    <x v="60"/>
    <x v="0"/>
    <x v="0"/>
    <x v="0"/>
    <x v="1"/>
    <x v="120"/>
    <x v="201"/>
    <x v="77"/>
    <x v="653"/>
    <x v="212"/>
    <x v="378"/>
    <x v="4"/>
  </r>
  <r>
    <x v="0"/>
    <x v="60"/>
    <x v="60"/>
    <x v="3"/>
    <x v="3"/>
    <x v="3"/>
    <x v="2"/>
    <x v="55"/>
    <x v="583"/>
    <x v="67"/>
    <x v="577"/>
    <x v="166"/>
    <x v="224"/>
    <x v="4"/>
  </r>
  <r>
    <x v="0"/>
    <x v="60"/>
    <x v="60"/>
    <x v="6"/>
    <x v="6"/>
    <x v="6"/>
    <x v="2"/>
    <x v="55"/>
    <x v="583"/>
    <x v="50"/>
    <x v="154"/>
    <x v="112"/>
    <x v="558"/>
    <x v="4"/>
  </r>
  <r>
    <x v="0"/>
    <x v="60"/>
    <x v="60"/>
    <x v="7"/>
    <x v="7"/>
    <x v="7"/>
    <x v="2"/>
    <x v="55"/>
    <x v="583"/>
    <x v="58"/>
    <x v="654"/>
    <x v="212"/>
    <x v="378"/>
    <x v="4"/>
  </r>
  <r>
    <x v="0"/>
    <x v="60"/>
    <x v="60"/>
    <x v="1"/>
    <x v="1"/>
    <x v="1"/>
    <x v="5"/>
    <x v="292"/>
    <x v="563"/>
    <x v="38"/>
    <x v="655"/>
    <x v="212"/>
    <x v="378"/>
    <x v="4"/>
  </r>
  <r>
    <x v="0"/>
    <x v="60"/>
    <x v="60"/>
    <x v="5"/>
    <x v="5"/>
    <x v="5"/>
    <x v="6"/>
    <x v="287"/>
    <x v="395"/>
    <x v="49"/>
    <x v="656"/>
    <x v="47"/>
    <x v="143"/>
    <x v="4"/>
  </r>
  <r>
    <x v="0"/>
    <x v="60"/>
    <x v="60"/>
    <x v="10"/>
    <x v="10"/>
    <x v="10"/>
    <x v="7"/>
    <x v="306"/>
    <x v="584"/>
    <x v="48"/>
    <x v="476"/>
    <x v="212"/>
    <x v="378"/>
    <x v="4"/>
  </r>
  <r>
    <x v="0"/>
    <x v="60"/>
    <x v="60"/>
    <x v="8"/>
    <x v="8"/>
    <x v="8"/>
    <x v="8"/>
    <x v="307"/>
    <x v="248"/>
    <x v="68"/>
    <x v="657"/>
    <x v="212"/>
    <x v="378"/>
    <x v="4"/>
  </r>
  <r>
    <x v="0"/>
    <x v="60"/>
    <x v="60"/>
    <x v="12"/>
    <x v="12"/>
    <x v="12"/>
    <x v="9"/>
    <x v="308"/>
    <x v="499"/>
    <x v="50"/>
    <x v="154"/>
    <x v="184"/>
    <x v="425"/>
    <x v="4"/>
  </r>
  <r>
    <x v="0"/>
    <x v="60"/>
    <x v="60"/>
    <x v="13"/>
    <x v="13"/>
    <x v="13"/>
    <x v="10"/>
    <x v="309"/>
    <x v="332"/>
    <x v="59"/>
    <x v="658"/>
    <x v="167"/>
    <x v="105"/>
    <x v="4"/>
  </r>
  <r>
    <x v="0"/>
    <x v="60"/>
    <x v="60"/>
    <x v="9"/>
    <x v="9"/>
    <x v="9"/>
    <x v="11"/>
    <x v="310"/>
    <x v="585"/>
    <x v="50"/>
    <x v="154"/>
    <x v="213"/>
    <x v="534"/>
    <x v="4"/>
  </r>
  <r>
    <x v="0"/>
    <x v="60"/>
    <x v="60"/>
    <x v="24"/>
    <x v="24"/>
    <x v="24"/>
    <x v="12"/>
    <x v="311"/>
    <x v="34"/>
    <x v="59"/>
    <x v="658"/>
    <x v="184"/>
    <x v="425"/>
    <x v="4"/>
  </r>
  <r>
    <x v="0"/>
    <x v="60"/>
    <x v="60"/>
    <x v="18"/>
    <x v="18"/>
    <x v="18"/>
    <x v="12"/>
    <x v="311"/>
    <x v="34"/>
    <x v="47"/>
    <x v="47"/>
    <x v="167"/>
    <x v="105"/>
    <x v="4"/>
  </r>
  <r>
    <x v="0"/>
    <x v="60"/>
    <x v="60"/>
    <x v="2"/>
    <x v="2"/>
    <x v="2"/>
    <x v="12"/>
    <x v="311"/>
    <x v="34"/>
    <x v="51"/>
    <x v="659"/>
    <x v="179"/>
    <x v="393"/>
    <x v="4"/>
  </r>
  <r>
    <x v="0"/>
    <x v="60"/>
    <x v="60"/>
    <x v="27"/>
    <x v="27"/>
    <x v="27"/>
    <x v="12"/>
    <x v="311"/>
    <x v="34"/>
    <x v="41"/>
    <x v="532"/>
    <x v="213"/>
    <x v="534"/>
    <x v="4"/>
  </r>
  <r>
    <x v="0"/>
    <x v="60"/>
    <x v="60"/>
    <x v="22"/>
    <x v="22"/>
    <x v="22"/>
    <x v="12"/>
    <x v="311"/>
    <x v="34"/>
    <x v="51"/>
    <x v="659"/>
    <x v="179"/>
    <x v="393"/>
    <x v="4"/>
  </r>
  <r>
    <x v="0"/>
    <x v="60"/>
    <x v="60"/>
    <x v="38"/>
    <x v="38"/>
    <x v="38"/>
    <x v="17"/>
    <x v="312"/>
    <x v="112"/>
    <x v="51"/>
    <x v="659"/>
    <x v="184"/>
    <x v="425"/>
    <x v="4"/>
  </r>
  <r>
    <x v="0"/>
    <x v="60"/>
    <x v="60"/>
    <x v="26"/>
    <x v="26"/>
    <x v="26"/>
    <x v="17"/>
    <x v="312"/>
    <x v="112"/>
    <x v="47"/>
    <x v="47"/>
    <x v="179"/>
    <x v="393"/>
    <x v="4"/>
  </r>
  <r>
    <x v="0"/>
    <x v="60"/>
    <x v="60"/>
    <x v="19"/>
    <x v="19"/>
    <x v="19"/>
    <x v="17"/>
    <x v="312"/>
    <x v="112"/>
    <x v="47"/>
    <x v="47"/>
    <x v="179"/>
    <x v="393"/>
    <x v="4"/>
  </r>
  <r>
    <x v="0"/>
    <x v="60"/>
    <x v="60"/>
    <x v="17"/>
    <x v="17"/>
    <x v="17"/>
    <x v="17"/>
    <x v="312"/>
    <x v="112"/>
    <x v="41"/>
    <x v="532"/>
    <x v="213"/>
    <x v="534"/>
    <x v="4"/>
  </r>
  <r>
    <x v="0"/>
    <x v="61"/>
    <x v="61"/>
    <x v="32"/>
    <x v="32"/>
    <x v="32"/>
    <x v="0"/>
    <x v="241"/>
    <x v="586"/>
    <x v="31"/>
    <x v="660"/>
    <x v="52"/>
    <x v="559"/>
    <x v="4"/>
  </r>
  <r>
    <x v="0"/>
    <x v="61"/>
    <x v="61"/>
    <x v="1"/>
    <x v="1"/>
    <x v="1"/>
    <x v="1"/>
    <x v="73"/>
    <x v="587"/>
    <x v="84"/>
    <x v="661"/>
    <x v="184"/>
    <x v="14"/>
    <x v="4"/>
  </r>
  <r>
    <x v="0"/>
    <x v="61"/>
    <x v="61"/>
    <x v="4"/>
    <x v="4"/>
    <x v="4"/>
    <x v="2"/>
    <x v="49"/>
    <x v="588"/>
    <x v="96"/>
    <x v="662"/>
    <x v="52"/>
    <x v="559"/>
    <x v="4"/>
  </r>
  <r>
    <x v="0"/>
    <x v="61"/>
    <x v="61"/>
    <x v="3"/>
    <x v="3"/>
    <x v="3"/>
    <x v="3"/>
    <x v="52"/>
    <x v="589"/>
    <x v="60"/>
    <x v="352"/>
    <x v="166"/>
    <x v="237"/>
    <x v="4"/>
  </r>
  <r>
    <x v="0"/>
    <x v="61"/>
    <x v="61"/>
    <x v="8"/>
    <x v="8"/>
    <x v="8"/>
    <x v="4"/>
    <x v="53"/>
    <x v="448"/>
    <x v="39"/>
    <x v="588"/>
    <x v="212"/>
    <x v="560"/>
    <x v="4"/>
  </r>
  <r>
    <x v="0"/>
    <x v="61"/>
    <x v="61"/>
    <x v="5"/>
    <x v="5"/>
    <x v="5"/>
    <x v="4"/>
    <x v="53"/>
    <x v="448"/>
    <x v="38"/>
    <x v="663"/>
    <x v="166"/>
    <x v="237"/>
    <x v="4"/>
  </r>
  <r>
    <x v="0"/>
    <x v="61"/>
    <x v="61"/>
    <x v="0"/>
    <x v="0"/>
    <x v="0"/>
    <x v="6"/>
    <x v="55"/>
    <x v="590"/>
    <x v="58"/>
    <x v="664"/>
    <x v="184"/>
    <x v="14"/>
    <x v="4"/>
  </r>
  <r>
    <x v="0"/>
    <x v="61"/>
    <x v="61"/>
    <x v="12"/>
    <x v="12"/>
    <x v="12"/>
    <x v="7"/>
    <x v="56"/>
    <x v="591"/>
    <x v="49"/>
    <x v="665"/>
    <x v="166"/>
    <x v="237"/>
    <x v="4"/>
  </r>
  <r>
    <x v="0"/>
    <x v="61"/>
    <x v="61"/>
    <x v="11"/>
    <x v="11"/>
    <x v="11"/>
    <x v="8"/>
    <x v="307"/>
    <x v="261"/>
    <x v="49"/>
    <x v="665"/>
    <x v="184"/>
    <x v="14"/>
    <x v="4"/>
  </r>
  <r>
    <x v="0"/>
    <x v="61"/>
    <x v="61"/>
    <x v="6"/>
    <x v="6"/>
    <x v="6"/>
    <x v="9"/>
    <x v="314"/>
    <x v="592"/>
    <x v="41"/>
    <x v="410"/>
    <x v="179"/>
    <x v="56"/>
    <x v="4"/>
  </r>
  <r>
    <x v="0"/>
    <x v="61"/>
    <x v="61"/>
    <x v="33"/>
    <x v="33"/>
    <x v="33"/>
    <x v="9"/>
    <x v="314"/>
    <x v="592"/>
    <x v="59"/>
    <x v="274"/>
    <x v="177"/>
    <x v="173"/>
    <x v="4"/>
  </r>
  <r>
    <x v="0"/>
    <x v="61"/>
    <x v="61"/>
    <x v="7"/>
    <x v="7"/>
    <x v="7"/>
    <x v="9"/>
    <x v="314"/>
    <x v="592"/>
    <x v="41"/>
    <x v="410"/>
    <x v="49"/>
    <x v="561"/>
    <x v="4"/>
  </r>
  <r>
    <x v="0"/>
    <x v="61"/>
    <x v="61"/>
    <x v="17"/>
    <x v="17"/>
    <x v="17"/>
    <x v="9"/>
    <x v="314"/>
    <x v="592"/>
    <x v="50"/>
    <x v="245"/>
    <x v="212"/>
    <x v="560"/>
    <x v="4"/>
  </r>
  <r>
    <x v="0"/>
    <x v="61"/>
    <x v="61"/>
    <x v="23"/>
    <x v="23"/>
    <x v="23"/>
    <x v="13"/>
    <x v="309"/>
    <x v="236"/>
    <x v="51"/>
    <x v="236"/>
    <x v="177"/>
    <x v="173"/>
    <x v="4"/>
  </r>
  <r>
    <x v="0"/>
    <x v="61"/>
    <x v="61"/>
    <x v="18"/>
    <x v="18"/>
    <x v="18"/>
    <x v="13"/>
    <x v="309"/>
    <x v="236"/>
    <x v="33"/>
    <x v="358"/>
    <x v="179"/>
    <x v="56"/>
    <x v="4"/>
  </r>
  <r>
    <x v="0"/>
    <x v="61"/>
    <x v="61"/>
    <x v="2"/>
    <x v="2"/>
    <x v="2"/>
    <x v="13"/>
    <x v="309"/>
    <x v="236"/>
    <x v="47"/>
    <x v="47"/>
    <x v="47"/>
    <x v="562"/>
    <x v="4"/>
  </r>
  <r>
    <x v="0"/>
    <x v="61"/>
    <x v="61"/>
    <x v="38"/>
    <x v="38"/>
    <x v="38"/>
    <x v="16"/>
    <x v="310"/>
    <x v="36"/>
    <x v="33"/>
    <x v="358"/>
    <x v="184"/>
    <x v="14"/>
    <x v="4"/>
  </r>
  <r>
    <x v="0"/>
    <x v="61"/>
    <x v="61"/>
    <x v="21"/>
    <x v="21"/>
    <x v="21"/>
    <x v="16"/>
    <x v="310"/>
    <x v="36"/>
    <x v="59"/>
    <x v="274"/>
    <x v="179"/>
    <x v="56"/>
    <x v="4"/>
  </r>
  <r>
    <x v="0"/>
    <x v="61"/>
    <x v="61"/>
    <x v="9"/>
    <x v="9"/>
    <x v="9"/>
    <x v="16"/>
    <x v="310"/>
    <x v="36"/>
    <x v="50"/>
    <x v="245"/>
    <x v="213"/>
    <x v="534"/>
    <x v="4"/>
  </r>
  <r>
    <x v="0"/>
    <x v="61"/>
    <x v="61"/>
    <x v="43"/>
    <x v="43"/>
    <x v="43"/>
    <x v="19"/>
    <x v="312"/>
    <x v="266"/>
    <x v="33"/>
    <x v="358"/>
    <x v="49"/>
    <x v="561"/>
    <x v="4"/>
  </r>
  <r>
    <x v="0"/>
    <x v="61"/>
    <x v="61"/>
    <x v="16"/>
    <x v="16"/>
    <x v="16"/>
    <x v="19"/>
    <x v="312"/>
    <x v="266"/>
    <x v="59"/>
    <x v="274"/>
    <x v="212"/>
    <x v="560"/>
    <x v="4"/>
  </r>
  <r>
    <x v="0"/>
    <x v="62"/>
    <x v="62"/>
    <x v="2"/>
    <x v="2"/>
    <x v="2"/>
    <x v="0"/>
    <x v="50"/>
    <x v="593"/>
    <x v="31"/>
    <x v="161"/>
    <x v="177"/>
    <x v="110"/>
    <x v="4"/>
  </r>
  <r>
    <x v="0"/>
    <x v="62"/>
    <x v="62"/>
    <x v="1"/>
    <x v="1"/>
    <x v="1"/>
    <x v="1"/>
    <x v="285"/>
    <x v="315"/>
    <x v="58"/>
    <x v="666"/>
    <x v="212"/>
    <x v="64"/>
    <x v="4"/>
  </r>
  <r>
    <x v="0"/>
    <x v="62"/>
    <x v="62"/>
    <x v="0"/>
    <x v="0"/>
    <x v="0"/>
    <x v="1"/>
    <x v="285"/>
    <x v="315"/>
    <x v="45"/>
    <x v="667"/>
    <x v="184"/>
    <x v="361"/>
    <x v="4"/>
  </r>
  <r>
    <x v="0"/>
    <x v="62"/>
    <x v="62"/>
    <x v="4"/>
    <x v="4"/>
    <x v="4"/>
    <x v="3"/>
    <x v="286"/>
    <x v="594"/>
    <x v="33"/>
    <x v="517"/>
    <x v="51"/>
    <x v="563"/>
    <x v="4"/>
  </r>
  <r>
    <x v="0"/>
    <x v="62"/>
    <x v="62"/>
    <x v="3"/>
    <x v="3"/>
    <x v="3"/>
    <x v="3"/>
    <x v="286"/>
    <x v="594"/>
    <x v="96"/>
    <x v="668"/>
    <x v="177"/>
    <x v="110"/>
    <x v="4"/>
  </r>
  <r>
    <x v="0"/>
    <x v="62"/>
    <x v="62"/>
    <x v="5"/>
    <x v="5"/>
    <x v="5"/>
    <x v="5"/>
    <x v="299"/>
    <x v="595"/>
    <x v="49"/>
    <x v="456"/>
    <x v="167"/>
    <x v="272"/>
    <x v="4"/>
  </r>
  <r>
    <x v="0"/>
    <x v="62"/>
    <x v="62"/>
    <x v="6"/>
    <x v="6"/>
    <x v="6"/>
    <x v="6"/>
    <x v="308"/>
    <x v="280"/>
    <x v="51"/>
    <x v="458"/>
    <x v="128"/>
    <x v="397"/>
    <x v="4"/>
  </r>
  <r>
    <x v="0"/>
    <x v="62"/>
    <x v="62"/>
    <x v="9"/>
    <x v="9"/>
    <x v="9"/>
    <x v="7"/>
    <x v="310"/>
    <x v="30"/>
    <x v="50"/>
    <x v="166"/>
    <x v="213"/>
    <x v="534"/>
    <x v="4"/>
  </r>
  <r>
    <x v="0"/>
    <x v="62"/>
    <x v="62"/>
    <x v="17"/>
    <x v="17"/>
    <x v="17"/>
    <x v="7"/>
    <x v="310"/>
    <x v="30"/>
    <x v="41"/>
    <x v="669"/>
    <x v="212"/>
    <x v="64"/>
    <x v="4"/>
  </r>
  <r>
    <x v="0"/>
    <x v="62"/>
    <x v="62"/>
    <x v="8"/>
    <x v="8"/>
    <x v="8"/>
    <x v="9"/>
    <x v="312"/>
    <x v="436"/>
    <x v="59"/>
    <x v="457"/>
    <x v="212"/>
    <x v="64"/>
    <x v="4"/>
  </r>
  <r>
    <x v="0"/>
    <x v="62"/>
    <x v="62"/>
    <x v="44"/>
    <x v="44"/>
    <x v="44"/>
    <x v="9"/>
    <x v="312"/>
    <x v="436"/>
    <x v="41"/>
    <x v="669"/>
    <x v="213"/>
    <x v="534"/>
    <x v="4"/>
  </r>
  <r>
    <x v="0"/>
    <x v="62"/>
    <x v="62"/>
    <x v="16"/>
    <x v="16"/>
    <x v="16"/>
    <x v="9"/>
    <x v="312"/>
    <x v="436"/>
    <x v="33"/>
    <x v="517"/>
    <x v="49"/>
    <x v="208"/>
    <x v="4"/>
  </r>
  <r>
    <x v="0"/>
    <x v="62"/>
    <x v="62"/>
    <x v="43"/>
    <x v="43"/>
    <x v="43"/>
    <x v="12"/>
    <x v="313"/>
    <x v="17"/>
    <x v="51"/>
    <x v="458"/>
    <x v="212"/>
    <x v="64"/>
    <x v="4"/>
  </r>
  <r>
    <x v="0"/>
    <x v="62"/>
    <x v="62"/>
    <x v="30"/>
    <x v="30"/>
    <x v="30"/>
    <x v="12"/>
    <x v="313"/>
    <x v="17"/>
    <x v="47"/>
    <x v="47"/>
    <x v="184"/>
    <x v="361"/>
    <x v="4"/>
  </r>
  <r>
    <x v="0"/>
    <x v="62"/>
    <x v="62"/>
    <x v="33"/>
    <x v="33"/>
    <x v="33"/>
    <x v="12"/>
    <x v="313"/>
    <x v="17"/>
    <x v="51"/>
    <x v="458"/>
    <x v="212"/>
    <x v="64"/>
    <x v="4"/>
  </r>
  <r>
    <x v="0"/>
    <x v="62"/>
    <x v="62"/>
    <x v="28"/>
    <x v="28"/>
    <x v="28"/>
    <x v="12"/>
    <x v="313"/>
    <x v="17"/>
    <x v="51"/>
    <x v="458"/>
    <x v="212"/>
    <x v="64"/>
    <x v="4"/>
  </r>
  <r>
    <x v="0"/>
    <x v="62"/>
    <x v="62"/>
    <x v="45"/>
    <x v="45"/>
    <x v="45"/>
    <x v="12"/>
    <x v="313"/>
    <x v="17"/>
    <x v="47"/>
    <x v="47"/>
    <x v="184"/>
    <x v="361"/>
    <x v="4"/>
  </r>
  <r>
    <x v="0"/>
    <x v="62"/>
    <x v="62"/>
    <x v="14"/>
    <x v="14"/>
    <x v="14"/>
    <x v="12"/>
    <x v="313"/>
    <x v="17"/>
    <x v="33"/>
    <x v="517"/>
    <x v="213"/>
    <x v="534"/>
    <x v="4"/>
  </r>
  <r>
    <x v="0"/>
    <x v="62"/>
    <x v="62"/>
    <x v="11"/>
    <x v="11"/>
    <x v="11"/>
    <x v="12"/>
    <x v="313"/>
    <x v="17"/>
    <x v="59"/>
    <x v="457"/>
    <x v="49"/>
    <x v="208"/>
    <x v="4"/>
  </r>
  <r>
    <x v="0"/>
    <x v="62"/>
    <x v="62"/>
    <x v="13"/>
    <x v="13"/>
    <x v="13"/>
    <x v="12"/>
    <x v="313"/>
    <x v="17"/>
    <x v="59"/>
    <x v="457"/>
    <x v="49"/>
    <x v="208"/>
    <x v="4"/>
  </r>
  <r>
    <x v="0"/>
    <x v="62"/>
    <x v="62"/>
    <x v="7"/>
    <x v="7"/>
    <x v="7"/>
    <x v="12"/>
    <x v="313"/>
    <x v="17"/>
    <x v="51"/>
    <x v="458"/>
    <x v="213"/>
    <x v="534"/>
    <x v="4"/>
  </r>
  <r>
    <x v="0"/>
    <x v="63"/>
    <x v="63"/>
    <x v="5"/>
    <x v="5"/>
    <x v="5"/>
    <x v="0"/>
    <x v="49"/>
    <x v="20"/>
    <x v="72"/>
    <x v="670"/>
    <x v="47"/>
    <x v="497"/>
    <x v="4"/>
  </r>
  <r>
    <x v="0"/>
    <x v="63"/>
    <x v="63"/>
    <x v="1"/>
    <x v="1"/>
    <x v="1"/>
    <x v="0"/>
    <x v="49"/>
    <x v="20"/>
    <x v="105"/>
    <x v="671"/>
    <x v="212"/>
    <x v="53"/>
    <x v="4"/>
  </r>
  <r>
    <x v="0"/>
    <x v="63"/>
    <x v="63"/>
    <x v="0"/>
    <x v="0"/>
    <x v="0"/>
    <x v="2"/>
    <x v="50"/>
    <x v="596"/>
    <x v="72"/>
    <x v="670"/>
    <x v="167"/>
    <x v="94"/>
    <x v="4"/>
  </r>
  <r>
    <x v="0"/>
    <x v="63"/>
    <x v="63"/>
    <x v="4"/>
    <x v="4"/>
    <x v="4"/>
    <x v="3"/>
    <x v="112"/>
    <x v="518"/>
    <x v="50"/>
    <x v="298"/>
    <x v="43"/>
    <x v="564"/>
    <x v="4"/>
  </r>
  <r>
    <x v="0"/>
    <x v="63"/>
    <x v="63"/>
    <x v="3"/>
    <x v="3"/>
    <x v="3"/>
    <x v="4"/>
    <x v="113"/>
    <x v="103"/>
    <x v="60"/>
    <x v="672"/>
    <x v="167"/>
    <x v="94"/>
    <x v="4"/>
  </r>
  <r>
    <x v="0"/>
    <x v="63"/>
    <x v="63"/>
    <x v="8"/>
    <x v="8"/>
    <x v="8"/>
    <x v="5"/>
    <x v="292"/>
    <x v="93"/>
    <x v="38"/>
    <x v="673"/>
    <x v="212"/>
    <x v="53"/>
    <x v="4"/>
  </r>
  <r>
    <x v="0"/>
    <x v="63"/>
    <x v="63"/>
    <x v="11"/>
    <x v="11"/>
    <x v="11"/>
    <x v="6"/>
    <x v="288"/>
    <x v="182"/>
    <x v="67"/>
    <x v="460"/>
    <x v="184"/>
    <x v="35"/>
    <x v="4"/>
  </r>
  <r>
    <x v="0"/>
    <x v="63"/>
    <x v="63"/>
    <x v="6"/>
    <x v="6"/>
    <x v="6"/>
    <x v="7"/>
    <x v="306"/>
    <x v="597"/>
    <x v="100"/>
    <x v="464"/>
    <x v="177"/>
    <x v="565"/>
    <x v="4"/>
  </r>
  <r>
    <x v="0"/>
    <x v="63"/>
    <x v="63"/>
    <x v="17"/>
    <x v="17"/>
    <x v="17"/>
    <x v="8"/>
    <x v="307"/>
    <x v="528"/>
    <x v="68"/>
    <x v="674"/>
    <x v="212"/>
    <x v="53"/>
    <x v="4"/>
  </r>
  <r>
    <x v="0"/>
    <x v="63"/>
    <x v="63"/>
    <x v="12"/>
    <x v="12"/>
    <x v="12"/>
    <x v="9"/>
    <x v="309"/>
    <x v="65"/>
    <x v="47"/>
    <x v="47"/>
    <x v="47"/>
    <x v="497"/>
    <x v="4"/>
  </r>
  <r>
    <x v="0"/>
    <x v="63"/>
    <x v="63"/>
    <x v="7"/>
    <x v="7"/>
    <x v="7"/>
    <x v="9"/>
    <x v="309"/>
    <x v="65"/>
    <x v="100"/>
    <x v="464"/>
    <x v="49"/>
    <x v="28"/>
    <x v="4"/>
  </r>
  <r>
    <x v="0"/>
    <x v="63"/>
    <x v="63"/>
    <x v="2"/>
    <x v="2"/>
    <x v="2"/>
    <x v="11"/>
    <x v="310"/>
    <x v="353"/>
    <x v="59"/>
    <x v="675"/>
    <x v="179"/>
    <x v="566"/>
    <x v="4"/>
  </r>
  <r>
    <x v="0"/>
    <x v="63"/>
    <x v="63"/>
    <x v="9"/>
    <x v="9"/>
    <x v="9"/>
    <x v="11"/>
    <x v="310"/>
    <x v="353"/>
    <x v="100"/>
    <x v="464"/>
    <x v="49"/>
    <x v="28"/>
    <x v="4"/>
  </r>
  <r>
    <x v="0"/>
    <x v="63"/>
    <x v="63"/>
    <x v="23"/>
    <x v="23"/>
    <x v="23"/>
    <x v="13"/>
    <x v="311"/>
    <x v="111"/>
    <x v="47"/>
    <x v="47"/>
    <x v="167"/>
    <x v="94"/>
    <x v="4"/>
  </r>
  <r>
    <x v="0"/>
    <x v="63"/>
    <x v="63"/>
    <x v="14"/>
    <x v="14"/>
    <x v="14"/>
    <x v="13"/>
    <x v="311"/>
    <x v="111"/>
    <x v="100"/>
    <x v="464"/>
    <x v="213"/>
    <x v="534"/>
    <x v="4"/>
  </r>
  <r>
    <x v="0"/>
    <x v="63"/>
    <x v="63"/>
    <x v="10"/>
    <x v="10"/>
    <x v="10"/>
    <x v="13"/>
    <x v="311"/>
    <x v="111"/>
    <x v="33"/>
    <x v="676"/>
    <x v="212"/>
    <x v="53"/>
    <x v="4"/>
  </r>
  <r>
    <x v="0"/>
    <x v="63"/>
    <x v="63"/>
    <x v="13"/>
    <x v="13"/>
    <x v="13"/>
    <x v="13"/>
    <x v="311"/>
    <x v="111"/>
    <x v="59"/>
    <x v="675"/>
    <x v="184"/>
    <x v="35"/>
    <x v="4"/>
  </r>
  <r>
    <x v="0"/>
    <x v="63"/>
    <x v="63"/>
    <x v="44"/>
    <x v="44"/>
    <x v="44"/>
    <x v="13"/>
    <x v="311"/>
    <x v="111"/>
    <x v="33"/>
    <x v="676"/>
    <x v="212"/>
    <x v="53"/>
    <x v="4"/>
  </r>
  <r>
    <x v="0"/>
    <x v="63"/>
    <x v="63"/>
    <x v="37"/>
    <x v="37"/>
    <x v="37"/>
    <x v="13"/>
    <x v="311"/>
    <x v="111"/>
    <x v="51"/>
    <x v="519"/>
    <x v="179"/>
    <x v="566"/>
    <x v="4"/>
  </r>
  <r>
    <x v="0"/>
    <x v="63"/>
    <x v="63"/>
    <x v="46"/>
    <x v="46"/>
    <x v="46"/>
    <x v="19"/>
    <x v="313"/>
    <x v="471"/>
    <x v="51"/>
    <x v="519"/>
    <x v="212"/>
    <x v="53"/>
    <x v="4"/>
  </r>
  <r>
    <x v="0"/>
    <x v="63"/>
    <x v="63"/>
    <x v="40"/>
    <x v="40"/>
    <x v="40"/>
    <x v="19"/>
    <x v="313"/>
    <x v="471"/>
    <x v="51"/>
    <x v="519"/>
    <x v="212"/>
    <x v="53"/>
    <x v="4"/>
  </r>
  <r>
    <x v="0"/>
    <x v="63"/>
    <x v="63"/>
    <x v="47"/>
    <x v="47"/>
    <x v="47"/>
    <x v="19"/>
    <x v="313"/>
    <x v="471"/>
    <x v="47"/>
    <x v="47"/>
    <x v="184"/>
    <x v="35"/>
    <x v="4"/>
  </r>
  <r>
    <x v="0"/>
    <x v="63"/>
    <x v="63"/>
    <x v="48"/>
    <x v="48"/>
    <x v="48"/>
    <x v="19"/>
    <x v="313"/>
    <x v="471"/>
    <x v="47"/>
    <x v="47"/>
    <x v="212"/>
    <x v="53"/>
    <x v="4"/>
  </r>
  <r>
    <x v="0"/>
    <x v="63"/>
    <x v="63"/>
    <x v="18"/>
    <x v="18"/>
    <x v="18"/>
    <x v="19"/>
    <x v="313"/>
    <x v="471"/>
    <x v="51"/>
    <x v="519"/>
    <x v="212"/>
    <x v="53"/>
    <x v="4"/>
  </r>
  <r>
    <x v="0"/>
    <x v="63"/>
    <x v="63"/>
    <x v="20"/>
    <x v="20"/>
    <x v="20"/>
    <x v="19"/>
    <x v="313"/>
    <x v="471"/>
    <x v="47"/>
    <x v="47"/>
    <x v="184"/>
    <x v="35"/>
    <x v="4"/>
  </r>
  <r>
    <x v="0"/>
    <x v="63"/>
    <x v="63"/>
    <x v="49"/>
    <x v="49"/>
    <x v="49"/>
    <x v="19"/>
    <x v="313"/>
    <x v="471"/>
    <x v="59"/>
    <x v="675"/>
    <x v="49"/>
    <x v="28"/>
    <x v="4"/>
  </r>
  <r>
    <x v="0"/>
    <x v="64"/>
    <x v="64"/>
    <x v="1"/>
    <x v="1"/>
    <x v="1"/>
    <x v="0"/>
    <x v="70"/>
    <x v="598"/>
    <x v="80"/>
    <x v="491"/>
    <x v="179"/>
    <x v="567"/>
    <x v="4"/>
  </r>
  <r>
    <x v="0"/>
    <x v="64"/>
    <x v="64"/>
    <x v="0"/>
    <x v="0"/>
    <x v="0"/>
    <x v="1"/>
    <x v="113"/>
    <x v="599"/>
    <x v="103"/>
    <x v="677"/>
    <x v="49"/>
    <x v="568"/>
    <x v="4"/>
  </r>
  <r>
    <x v="0"/>
    <x v="64"/>
    <x v="64"/>
    <x v="8"/>
    <x v="8"/>
    <x v="8"/>
    <x v="2"/>
    <x v="54"/>
    <x v="600"/>
    <x v="37"/>
    <x v="678"/>
    <x v="177"/>
    <x v="359"/>
    <x v="4"/>
  </r>
  <r>
    <x v="0"/>
    <x v="64"/>
    <x v="64"/>
    <x v="4"/>
    <x v="4"/>
    <x v="4"/>
    <x v="3"/>
    <x v="55"/>
    <x v="153"/>
    <x v="68"/>
    <x v="141"/>
    <x v="54"/>
    <x v="569"/>
    <x v="4"/>
  </r>
  <r>
    <x v="0"/>
    <x v="64"/>
    <x v="64"/>
    <x v="2"/>
    <x v="2"/>
    <x v="2"/>
    <x v="4"/>
    <x v="56"/>
    <x v="203"/>
    <x v="34"/>
    <x v="20"/>
    <x v="179"/>
    <x v="567"/>
    <x v="4"/>
  </r>
  <r>
    <x v="0"/>
    <x v="64"/>
    <x v="64"/>
    <x v="5"/>
    <x v="5"/>
    <x v="5"/>
    <x v="5"/>
    <x v="299"/>
    <x v="350"/>
    <x v="96"/>
    <x v="625"/>
    <x v="49"/>
    <x v="568"/>
    <x v="4"/>
  </r>
  <r>
    <x v="0"/>
    <x v="64"/>
    <x v="64"/>
    <x v="3"/>
    <x v="3"/>
    <x v="3"/>
    <x v="6"/>
    <x v="308"/>
    <x v="432"/>
    <x v="49"/>
    <x v="297"/>
    <x v="212"/>
    <x v="37"/>
    <x v="4"/>
  </r>
  <r>
    <x v="0"/>
    <x v="64"/>
    <x v="64"/>
    <x v="11"/>
    <x v="11"/>
    <x v="11"/>
    <x v="6"/>
    <x v="308"/>
    <x v="432"/>
    <x v="50"/>
    <x v="359"/>
    <x v="184"/>
    <x v="485"/>
    <x v="4"/>
  </r>
  <r>
    <x v="0"/>
    <x v="64"/>
    <x v="64"/>
    <x v="7"/>
    <x v="7"/>
    <x v="7"/>
    <x v="8"/>
    <x v="314"/>
    <x v="601"/>
    <x v="50"/>
    <x v="359"/>
    <x v="49"/>
    <x v="568"/>
    <x v="4"/>
  </r>
  <r>
    <x v="0"/>
    <x v="64"/>
    <x v="64"/>
    <x v="9"/>
    <x v="9"/>
    <x v="9"/>
    <x v="8"/>
    <x v="314"/>
    <x v="601"/>
    <x v="100"/>
    <x v="679"/>
    <x v="184"/>
    <x v="485"/>
    <x v="4"/>
  </r>
  <r>
    <x v="0"/>
    <x v="64"/>
    <x v="64"/>
    <x v="43"/>
    <x v="43"/>
    <x v="43"/>
    <x v="10"/>
    <x v="309"/>
    <x v="263"/>
    <x v="51"/>
    <x v="248"/>
    <x v="177"/>
    <x v="359"/>
    <x v="4"/>
  </r>
  <r>
    <x v="0"/>
    <x v="64"/>
    <x v="64"/>
    <x v="12"/>
    <x v="12"/>
    <x v="12"/>
    <x v="10"/>
    <x v="309"/>
    <x v="263"/>
    <x v="41"/>
    <x v="174"/>
    <x v="184"/>
    <x v="485"/>
    <x v="4"/>
  </r>
  <r>
    <x v="0"/>
    <x v="64"/>
    <x v="64"/>
    <x v="13"/>
    <x v="13"/>
    <x v="13"/>
    <x v="12"/>
    <x v="310"/>
    <x v="195"/>
    <x v="41"/>
    <x v="174"/>
    <x v="212"/>
    <x v="37"/>
    <x v="4"/>
  </r>
  <r>
    <x v="0"/>
    <x v="64"/>
    <x v="64"/>
    <x v="44"/>
    <x v="44"/>
    <x v="44"/>
    <x v="12"/>
    <x v="310"/>
    <x v="195"/>
    <x v="33"/>
    <x v="457"/>
    <x v="184"/>
    <x v="485"/>
    <x v="4"/>
  </r>
  <r>
    <x v="0"/>
    <x v="64"/>
    <x v="64"/>
    <x v="38"/>
    <x v="38"/>
    <x v="38"/>
    <x v="14"/>
    <x v="311"/>
    <x v="163"/>
    <x v="59"/>
    <x v="314"/>
    <x v="184"/>
    <x v="485"/>
    <x v="4"/>
  </r>
  <r>
    <x v="0"/>
    <x v="64"/>
    <x v="64"/>
    <x v="6"/>
    <x v="6"/>
    <x v="6"/>
    <x v="15"/>
    <x v="312"/>
    <x v="199"/>
    <x v="41"/>
    <x v="174"/>
    <x v="213"/>
    <x v="534"/>
    <x v="4"/>
  </r>
  <r>
    <x v="0"/>
    <x v="64"/>
    <x v="64"/>
    <x v="40"/>
    <x v="40"/>
    <x v="40"/>
    <x v="15"/>
    <x v="312"/>
    <x v="199"/>
    <x v="59"/>
    <x v="314"/>
    <x v="212"/>
    <x v="37"/>
    <x v="4"/>
  </r>
  <r>
    <x v="0"/>
    <x v="64"/>
    <x v="64"/>
    <x v="37"/>
    <x v="37"/>
    <x v="37"/>
    <x v="15"/>
    <x v="312"/>
    <x v="199"/>
    <x v="33"/>
    <x v="457"/>
    <x v="49"/>
    <x v="568"/>
    <x v="4"/>
  </r>
  <r>
    <x v="0"/>
    <x v="64"/>
    <x v="64"/>
    <x v="16"/>
    <x v="16"/>
    <x v="16"/>
    <x v="15"/>
    <x v="312"/>
    <x v="199"/>
    <x v="41"/>
    <x v="174"/>
    <x v="213"/>
    <x v="534"/>
    <x v="4"/>
  </r>
  <r>
    <x v="0"/>
    <x v="64"/>
    <x v="64"/>
    <x v="27"/>
    <x v="27"/>
    <x v="27"/>
    <x v="15"/>
    <x v="312"/>
    <x v="199"/>
    <x v="59"/>
    <x v="314"/>
    <x v="212"/>
    <x v="37"/>
    <x v="4"/>
  </r>
  <r>
    <x v="0"/>
    <x v="64"/>
    <x v="64"/>
    <x v="17"/>
    <x v="17"/>
    <x v="17"/>
    <x v="15"/>
    <x v="312"/>
    <x v="199"/>
    <x v="59"/>
    <x v="314"/>
    <x v="212"/>
    <x v="37"/>
    <x v="4"/>
  </r>
  <r>
    <x v="0"/>
    <x v="65"/>
    <x v="65"/>
    <x v="4"/>
    <x v="4"/>
    <x v="4"/>
    <x v="0"/>
    <x v="68"/>
    <x v="602"/>
    <x v="65"/>
    <x v="680"/>
    <x v="48"/>
    <x v="570"/>
    <x v="4"/>
  </r>
  <r>
    <x v="0"/>
    <x v="65"/>
    <x v="65"/>
    <x v="1"/>
    <x v="1"/>
    <x v="1"/>
    <x v="1"/>
    <x v="241"/>
    <x v="603"/>
    <x v="35"/>
    <x v="681"/>
    <x v="184"/>
    <x v="383"/>
    <x v="4"/>
  </r>
  <r>
    <x v="0"/>
    <x v="65"/>
    <x v="65"/>
    <x v="0"/>
    <x v="0"/>
    <x v="0"/>
    <x v="2"/>
    <x v="72"/>
    <x v="604"/>
    <x v="104"/>
    <x v="682"/>
    <x v="212"/>
    <x v="231"/>
    <x v="4"/>
  </r>
  <r>
    <x v="0"/>
    <x v="65"/>
    <x v="65"/>
    <x v="3"/>
    <x v="3"/>
    <x v="3"/>
    <x v="3"/>
    <x v="49"/>
    <x v="605"/>
    <x v="140"/>
    <x v="683"/>
    <x v="177"/>
    <x v="571"/>
    <x v="4"/>
  </r>
  <r>
    <x v="0"/>
    <x v="65"/>
    <x v="65"/>
    <x v="5"/>
    <x v="5"/>
    <x v="5"/>
    <x v="4"/>
    <x v="53"/>
    <x v="606"/>
    <x v="77"/>
    <x v="684"/>
    <x v="184"/>
    <x v="383"/>
    <x v="4"/>
  </r>
  <r>
    <x v="0"/>
    <x v="65"/>
    <x v="65"/>
    <x v="8"/>
    <x v="8"/>
    <x v="8"/>
    <x v="5"/>
    <x v="285"/>
    <x v="482"/>
    <x v="37"/>
    <x v="212"/>
    <x v="184"/>
    <x v="383"/>
    <x v="0"/>
  </r>
  <r>
    <x v="0"/>
    <x v="65"/>
    <x v="65"/>
    <x v="6"/>
    <x v="6"/>
    <x v="6"/>
    <x v="6"/>
    <x v="287"/>
    <x v="379"/>
    <x v="68"/>
    <x v="178"/>
    <x v="177"/>
    <x v="571"/>
    <x v="4"/>
  </r>
  <r>
    <x v="0"/>
    <x v="65"/>
    <x v="65"/>
    <x v="11"/>
    <x v="11"/>
    <x v="11"/>
    <x v="7"/>
    <x v="288"/>
    <x v="433"/>
    <x v="49"/>
    <x v="685"/>
    <x v="177"/>
    <x v="571"/>
    <x v="4"/>
  </r>
  <r>
    <x v="0"/>
    <x v="65"/>
    <x v="65"/>
    <x v="18"/>
    <x v="18"/>
    <x v="18"/>
    <x v="8"/>
    <x v="306"/>
    <x v="310"/>
    <x v="33"/>
    <x v="686"/>
    <x v="128"/>
    <x v="275"/>
    <x v="4"/>
  </r>
  <r>
    <x v="0"/>
    <x v="65"/>
    <x v="65"/>
    <x v="43"/>
    <x v="43"/>
    <x v="43"/>
    <x v="9"/>
    <x v="314"/>
    <x v="607"/>
    <x v="100"/>
    <x v="561"/>
    <x v="184"/>
    <x v="383"/>
    <x v="4"/>
  </r>
  <r>
    <x v="0"/>
    <x v="65"/>
    <x v="65"/>
    <x v="17"/>
    <x v="17"/>
    <x v="17"/>
    <x v="9"/>
    <x v="314"/>
    <x v="607"/>
    <x v="68"/>
    <x v="178"/>
    <x v="213"/>
    <x v="534"/>
    <x v="4"/>
  </r>
  <r>
    <x v="0"/>
    <x v="65"/>
    <x v="65"/>
    <x v="30"/>
    <x v="30"/>
    <x v="30"/>
    <x v="11"/>
    <x v="309"/>
    <x v="174"/>
    <x v="33"/>
    <x v="686"/>
    <x v="179"/>
    <x v="281"/>
    <x v="4"/>
  </r>
  <r>
    <x v="0"/>
    <x v="65"/>
    <x v="65"/>
    <x v="10"/>
    <x v="10"/>
    <x v="10"/>
    <x v="11"/>
    <x v="309"/>
    <x v="174"/>
    <x v="50"/>
    <x v="179"/>
    <x v="49"/>
    <x v="60"/>
    <x v="4"/>
  </r>
  <r>
    <x v="0"/>
    <x v="65"/>
    <x v="65"/>
    <x v="13"/>
    <x v="13"/>
    <x v="13"/>
    <x v="11"/>
    <x v="309"/>
    <x v="174"/>
    <x v="33"/>
    <x v="686"/>
    <x v="179"/>
    <x v="281"/>
    <x v="4"/>
  </r>
  <r>
    <x v="0"/>
    <x v="65"/>
    <x v="65"/>
    <x v="9"/>
    <x v="9"/>
    <x v="9"/>
    <x v="11"/>
    <x v="309"/>
    <x v="174"/>
    <x v="49"/>
    <x v="685"/>
    <x v="213"/>
    <x v="534"/>
    <x v="4"/>
  </r>
  <r>
    <x v="0"/>
    <x v="65"/>
    <x v="65"/>
    <x v="50"/>
    <x v="50"/>
    <x v="50"/>
    <x v="15"/>
    <x v="310"/>
    <x v="150"/>
    <x v="41"/>
    <x v="417"/>
    <x v="212"/>
    <x v="231"/>
    <x v="4"/>
  </r>
  <r>
    <x v="0"/>
    <x v="65"/>
    <x v="65"/>
    <x v="14"/>
    <x v="14"/>
    <x v="14"/>
    <x v="15"/>
    <x v="310"/>
    <x v="150"/>
    <x v="41"/>
    <x v="417"/>
    <x v="212"/>
    <x v="231"/>
    <x v="4"/>
  </r>
  <r>
    <x v="0"/>
    <x v="65"/>
    <x v="65"/>
    <x v="7"/>
    <x v="7"/>
    <x v="7"/>
    <x v="15"/>
    <x v="310"/>
    <x v="150"/>
    <x v="41"/>
    <x v="417"/>
    <x v="213"/>
    <x v="534"/>
    <x v="4"/>
  </r>
  <r>
    <x v="0"/>
    <x v="65"/>
    <x v="65"/>
    <x v="33"/>
    <x v="33"/>
    <x v="33"/>
    <x v="18"/>
    <x v="311"/>
    <x v="425"/>
    <x v="41"/>
    <x v="417"/>
    <x v="49"/>
    <x v="60"/>
    <x v="4"/>
  </r>
  <r>
    <x v="0"/>
    <x v="65"/>
    <x v="65"/>
    <x v="38"/>
    <x v="38"/>
    <x v="38"/>
    <x v="18"/>
    <x v="311"/>
    <x v="425"/>
    <x v="51"/>
    <x v="471"/>
    <x v="179"/>
    <x v="281"/>
    <x v="4"/>
  </r>
  <r>
    <x v="0"/>
    <x v="65"/>
    <x v="65"/>
    <x v="45"/>
    <x v="45"/>
    <x v="45"/>
    <x v="18"/>
    <x v="311"/>
    <x v="425"/>
    <x v="51"/>
    <x v="471"/>
    <x v="179"/>
    <x v="281"/>
    <x v="4"/>
  </r>
  <r>
    <x v="0"/>
    <x v="65"/>
    <x v="65"/>
    <x v="20"/>
    <x v="20"/>
    <x v="20"/>
    <x v="18"/>
    <x v="311"/>
    <x v="425"/>
    <x v="47"/>
    <x v="47"/>
    <x v="179"/>
    <x v="281"/>
    <x v="4"/>
  </r>
  <r>
    <x v="0"/>
    <x v="66"/>
    <x v="66"/>
    <x v="4"/>
    <x v="4"/>
    <x v="4"/>
    <x v="0"/>
    <x v="292"/>
    <x v="608"/>
    <x v="67"/>
    <x v="648"/>
    <x v="167"/>
    <x v="572"/>
    <x v="4"/>
  </r>
  <r>
    <x v="0"/>
    <x v="66"/>
    <x v="66"/>
    <x v="1"/>
    <x v="1"/>
    <x v="1"/>
    <x v="1"/>
    <x v="314"/>
    <x v="609"/>
    <x v="68"/>
    <x v="654"/>
    <x v="213"/>
    <x v="534"/>
    <x v="4"/>
  </r>
  <r>
    <x v="0"/>
    <x v="66"/>
    <x v="66"/>
    <x v="5"/>
    <x v="5"/>
    <x v="5"/>
    <x v="2"/>
    <x v="309"/>
    <x v="610"/>
    <x v="50"/>
    <x v="652"/>
    <x v="49"/>
    <x v="573"/>
    <x v="4"/>
  </r>
  <r>
    <x v="0"/>
    <x v="66"/>
    <x v="66"/>
    <x v="0"/>
    <x v="0"/>
    <x v="0"/>
    <x v="2"/>
    <x v="309"/>
    <x v="610"/>
    <x v="49"/>
    <x v="687"/>
    <x v="213"/>
    <x v="534"/>
    <x v="4"/>
  </r>
  <r>
    <x v="0"/>
    <x v="66"/>
    <x v="66"/>
    <x v="3"/>
    <x v="3"/>
    <x v="3"/>
    <x v="4"/>
    <x v="310"/>
    <x v="317"/>
    <x v="100"/>
    <x v="577"/>
    <x v="49"/>
    <x v="573"/>
    <x v="4"/>
  </r>
  <r>
    <x v="0"/>
    <x v="66"/>
    <x v="66"/>
    <x v="8"/>
    <x v="8"/>
    <x v="8"/>
    <x v="4"/>
    <x v="310"/>
    <x v="317"/>
    <x v="50"/>
    <x v="652"/>
    <x v="213"/>
    <x v="534"/>
    <x v="4"/>
  </r>
  <r>
    <x v="0"/>
    <x v="66"/>
    <x v="66"/>
    <x v="12"/>
    <x v="12"/>
    <x v="12"/>
    <x v="6"/>
    <x v="311"/>
    <x v="611"/>
    <x v="41"/>
    <x v="657"/>
    <x v="49"/>
    <x v="573"/>
    <x v="4"/>
  </r>
  <r>
    <x v="0"/>
    <x v="66"/>
    <x v="66"/>
    <x v="29"/>
    <x v="29"/>
    <x v="29"/>
    <x v="7"/>
    <x v="312"/>
    <x v="219"/>
    <x v="59"/>
    <x v="532"/>
    <x v="212"/>
    <x v="574"/>
    <x v="4"/>
  </r>
  <r>
    <x v="0"/>
    <x v="66"/>
    <x v="66"/>
    <x v="38"/>
    <x v="38"/>
    <x v="38"/>
    <x v="7"/>
    <x v="312"/>
    <x v="219"/>
    <x v="51"/>
    <x v="658"/>
    <x v="184"/>
    <x v="575"/>
    <x v="4"/>
  </r>
  <r>
    <x v="0"/>
    <x v="66"/>
    <x v="66"/>
    <x v="20"/>
    <x v="20"/>
    <x v="20"/>
    <x v="7"/>
    <x v="312"/>
    <x v="219"/>
    <x v="47"/>
    <x v="47"/>
    <x v="49"/>
    <x v="573"/>
    <x v="4"/>
  </r>
  <r>
    <x v="0"/>
    <x v="66"/>
    <x v="66"/>
    <x v="43"/>
    <x v="43"/>
    <x v="43"/>
    <x v="10"/>
    <x v="313"/>
    <x v="612"/>
    <x v="33"/>
    <x v="154"/>
    <x v="213"/>
    <x v="534"/>
    <x v="4"/>
  </r>
  <r>
    <x v="0"/>
    <x v="66"/>
    <x v="66"/>
    <x v="17"/>
    <x v="17"/>
    <x v="17"/>
    <x v="10"/>
    <x v="313"/>
    <x v="612"/>
    <x v="59"/>
    <x v="532"/>
    <x v="49"/>
    <x v="573"/>
    <x v="4"/>
  </r>
  <r>
    <x v="0"/>
    <x v="66"/>
    <x v="66"/>
    <x v="6"/>
    <x v="6"/>
    <x v="6"/>
    <x v="12"/>
    <x v="315"/>
    <x v="236"/>
    <x v="59"/>
    <x v="532"/>
    <x v="213"/>
    <x v="534"/>
    <x v="4"/>
  </r>
  <r>
    <x v="0"/>
    <x v="66"/>
    <x v="66"/>
    <x v="46"/>
    <x v="46"/>
    <x v="46"/>
    <x v="12"/>
    <x v="315"/>
    <x v="236"/>
    <x v="59"/>
    <x v="532"/>
    <x v="213"/>
    <x v="534"/>
    <x v="4"/>
  </r>
  <r>
    <x v="0"/>
    <x v="66"/>
    <x v="66"/>
    <x v="23"/>
    <x v="23"/>
    <x v="23"/>
    <x v="12"/>
    <x v="315"/>
    <x v="236"/>
    <x v="51"/>
    <x v="658"/>
    <x v="49"/>
    <x v="573"/>
    <x v="4"/>
  </r>
  <r>
    <x v="0"/>
    <x v="66"/>
    <x v="66"/>
    <x v="10"/>
    <x v="10"/>
    <x v="10"/>
    <x v="12"/>
    <x v="315"/>
    <x v="236"/>
    <x v="51"/>
    <x v="658"/>
    <x v="49"/>
    <x v="573"/>
    <x v="4"/>
  </r>
  <r>
    <x v="0"/>
    <x v="66"/>
    <x v="66"/>
    <x v="13"/>
    <x v="13"/>
    <x v="13"/>
    <x v="12"/>
    <x v="315"/>
    <x v="236"/>
    <x v="47"/>
    <x v="47"/>
    <x v="212"/>
    <x v="574"/>
    <x v="4"/>
  </r>
  <r>
    <x v="0"/>
    <x v="66"/>
    <x v="66"/>
    <x v="7"/>
    <x v="7"/>
    <x v="7"/>
    <x v="12"/>
    <x v="315"/>
    <x v="236"/>
    <x v="51"/>
    <x v="658"/>
    <x v="213"/>
    <x v="534"/>
    <x v="4"/>
  </r>
  <r>
    <x v="0"/>
    <x v="66"/>
    <x v="66"/>
    <x v="9"/>
    <x v="9"/>
    <x v="9"/>
    <x v="12"/>
    <x v="315"/>
    <x v="236"/>
    <x v="59"/>
    <x v="532"/>
    <x v="213"/>
    <x v="534"/>
    <x v="4"/>
  </r>
  <r>
    <x v="0"/>
    <x v="66"/>
    <x v="66"/>
    <x v="41"/>
    <x v="41"/>
    <x v="41"/>
    <x v="19"/>
    <x v="316"/>
    <x v="500"/>
    <x v="51"/>
    <x v="658"/>
    <x v="213"/>
    <x v="534"/>
    <x v="4"/>
  </r>
  <r>
    <x v="0"/>
    <x v="66"/>
    <x v="66"/>
    <x v="34"/>
    <x v="34"/>
    <x v="34"/>
    <x v="19"/>
    <x v="316"/>
    <x v="500"/>
    <x v="51"/>
    <x v="658"/>
    <x v="213"/>
    <x v="534"/>
    <x v="4"/>
  </r>
  <r>
    <x v="0"/>
    <x v="66"/>
    <x v="66"/>
    <x v="51"/>
    <x v="51"/>
    <x v="51"/>
    <x v="19"/>
    <x v="316"/>
    <x v="500"/>
    <x v="51"/>
    <x v="658"/>
    <x v="213"/>
    <x v="534"/>
    <x v="4"/>
  </r>
  <r>
    <x v="0"/>
    <x v="66"/>
    <x v="66"/>
    <x v="52"/>
    <x v="52"/>
    <x v="52"/>
    <x v="19"/>
    <x v="316"/>
    <x v="500"/>
    <x v="47"/>
    <x v="47"/>
    <x v="49"/>
    <x v="573"/>
    <x v="4"/>
  </r>
  <r>
    <x v="0"/>
    <x v="66"/>
    <x v="66"/>
    <x v="28"/>
    <x v="28"/>
    <x v="28"/>
    <x v="19"/>
    <x v="316"/>
    <x v="500"/>
    <x v="47"/>
    <x v="47"/>
    <x v="49"/>
    <x v="573"/>
    <x v="4"/>
  </r>
  <r>
    <x v="0"/>
    <x v="66"/>
    <x v="66"/>
    <x v="53"/>
    <x v="53"/>
    <x v="53"/>
    <x v="19"/>
    <x v="316"/>
    <x v="500"/>
    <x v="47"/>
    <x v="47"/>
    <x v="213"/>
    <x v="534"/>
    <x v="4"/>
  </r>
  <r>
    <x v="0"/>
    <x v="66"/>
    <x v="66"/>
    <x v="54"/>
    <x v="54"/>
    <x v="54"/>
    <x v="19"/>
    <x v="316"/>
    <x v="500"/>
    <x v="51"/>
    <x v="658"/>
    <x v="213"/>
    <x v="534"/>
    <x v="4"/>
  </r>
  <r>
    <x v="0"/>
    <x v="66"/>
    <x v="66"/>
    <x v="45"/>
    <x v="45"/>
    <x v="45"/>
    <x v="19"/>
    <x v="316"/>
    <x v="500"/>
    <x v="47"/>
    <x v="47"/>
    <x v="49"/>
    <x v="573"/>
    <x v="4"/>
  </r>
  <r>
    <x v="0"/>
    <x v="66"/>
    <x v="66"/>
    <x v="55"/>
    <x v="55"/>
    <x v="55"/>
    <x v="19"/>
    <x v="316"/>
    <x v="500"/>
    <x v="47"/>
    <x v="47"/>
    <x v="213"/>
    <x v="534"/>
    <x v="4"/>
  </r>
  <r>
    <x v="0"/>
    <x v="66"/>
    <x v="66"/>
    <x v="11"/>
    <x v="11"/>
    <x v="11"/>
    <x v="19"/>
    <x v="316"/>
    <x v="500"/>
    <x v="51"/>
    <x v="658"/>
    <x v="213"/>
    <x v="534"/>
    <x v="4"/>
  </r>
  <r>
    <x v="0"/>
    <x v="66"/>
    <x v="66"/>
    <x v="25"/>
    <x v="25"/>
    <x v="25"/>
    <x v="19"/>
    <x v="316"/>
    <x v="500"/>
    <x v="47"/>
    <x v="47"/>
    <x v="49"/>
    <x v="573"/>
    <x v="4"/>
  </r>
  <r>
    <x v="0"/>
    <x v="66"/>
    <x v="66"/>
    <x v="27"/>
    <x v="27"/>
    <x v="27"/>
    <x v="19"/>
    <x v="316"/>
    <x v="500"/>
    <x v="51"/>
    <x v="658"/>
    <x v="213"/>
    <x v="534"/>
    <x v="4"/>
  </r>
  <r>
    <x v="0"/>
    <x v="66"/>
    <x v="66"/>
    <x v="22"/>
    <x v="22"/>
    <x v="22"/>
    <x v="19"/>
    <x v="316"/>
    <x v="500"/>
    <x v="51"/>
    <x v="658"/>
    <x v="213"/>
    <x v="534"/>
    <x v="4"/>
  </r>
  <r>
    <x v="0"/>
    <x v="66"/>
    <x v="66"/>
    <x v="56"/>
    <x v="56"/>
    <x v="56"/>
    <x v="19"/>
    <x v="316"/>
    <x v="500"/>
    <x v="47"/>
    <x v="47"/>
    <x v="213"/>
    <x v="534"/>
    <x v="4"/>
  </r>
  <r>
    <x v="0"/>
    <x v="67"/>
    <x v="67"/>
    <x v="4"/>
    <x v="4"/>
    <x v="4"/>
    <x v="0"/>
    <x v="113"/>
    <x v="613"/>
    <x v="67"/>
    <x v="688"/>
    <x v="112"/>
    <x v="576"/>
    <x v="4"/>
  </r>
  <r>
    <x v="0"/>
    <x v="67"/>
    <x v="67"/>
    <x v="1"/>
    <x v="1"/>
    <x v="1"/>
    <x v="1"/>
    <x v="120"/>
    <x v="548"/>
    <x v="39"/>
    <x v="689"/>
    <x v="49"/>
    <x v="250"/>
    <x v="4"/>
  </r>
  <r>
    <x v="0"/>
    <x v="67"/>
    <x v="67"/>
    <x v="0"/>
    <x v="0"/>
    <x v="0"/>
    <x v="1"/>
    <x v="120"/>
    <x v="548"/>
    <x v="60"/>
    <x v="484"/>
    <x v="184"/>
    <x v="107"/>
    <x v="4"/>
  </r>
  <r>
    <x v="0"/>
    <x v="67"/>
    <x v="67"/>
    <x v="3"/>
    <x v="3"/>
    <x v="3"/>
    <x v="3"/>
    <x v="292"/>
    <x v="614"/>
    <x v="68"/>
    <x v="168"/>
    <x v="47"/>
    <x v="296"/>
    <x v="4"/>
  </r>
  <r>
    <x v="0"/>
    <x v="67"/>
    <x v="67"/>
    <x v="5"/>
    <x v="5"/>
    <x v="5"/>
    <x v="3"/>
    <x v="292"/>
    <x v="614"/>
    <x v="68"/>
    <x v="168"/>
    <x v="47"/>
    <x v="296"/>
    <x v="4"/>
  </r>
  <r>
    <x v="0"/>
    <x v="67"/>
    <x v="67"/>
    <x v="6"/>
    <x v="6"/>
    <x v="6"/>
    <x v="5"/>
    <x v="287"/>
    <x v="441"/>
    <x v="100"/>
    <x v="382"/>
    <x v="166"/>
    <x v="577"/>
    <x v="4"/>
  </r>
  <r>
    <x v="0"/>
    <x v="67"/>
    <x v="67"/>
    <x v="9"/>
    <x v="9"/>
    <x v="9"/>
    <x v="6"/>
    <x v="306"/>
    <x v="105"/>
    <x v="67"/>
    <x v="688"/>
    <x v="49"/>
    <x v="250"/>
    <x v="4"/>
  </r>
  <r>
    <x v="0"/>
    <x v="67"/>
    <x v="67"/>
    <x v="17"/>
    <x v="17"/>
    <x v="17"/>
    <x v="6"/>
    <x v="306"/>
    <x v="105"/>
    <x v="67"/>
    <x v="688"/>
    <x v="49"/>
    <x v="250"/>
    <x v="4"/>
  </r>
  <r>
    <x v="0"/>
    <x v="67"/>
    <x v="67"/>
    <x v="8"/>
    <x v="8"/>
    <x v="8"/>
    <x v="8"/>
    <x v="307"/>
    <x v="144"/>
    <x v="48"/>
    <x v="511"/>
    <x v="49"/>
    <x v="250"/>
    <x v="4"/>
  </r>
  <r>
    <x v="0"/>
    <x v="67"/>
    <x v="67"/>
    <x v="12"/>
    <x v="12"/>
    <x v="12"/>
    <x v="9"/>
    <x v="314"/>
    <x v="156"/>
    <x v="33"/>
    <x v="544"/>
    <x v="167"/>
    <x v="578"/>
    <x v="4"/>
  </r>
  <r>
    <x v="0"/>
    <x v="67"/>
    <x v="67"/>
    <x v="20"/>
    <x v="20"/>
    <x v="20"/>
    <x v="10"/>
    <x v="309"/>
    <x v="389"/>
    <x v="47"/>
    <x v="47"/>
    <x v="177"/>
    <x v="338"/>
    <x v="4"/>
  </r>
  <r>
    <x v="0"/>
    <x v="67"/>
    <x v="67"/>
    <x v="18"/>
    <x v="18"/>
    <x v="18"/>
    <x v="11"/>
    <x v="311"/>
    <x v="615"/>
    <x v="47"/>
    <x v="47"/>
    <x v="167"/>
    <x v="578"/>
    <x v="4"/>
  </r>
  <r>
    <x v="0"/>
    <x v="67"/>
    <x v="67"/>
    <x v="43"/>
    <x v="43"/>
    <x v="43"/>
    <x v="12"/>
    <x v="312"/>
    <x v="197"/>
    <x v="51"/>
    <x v="157"/>
    <x v="184"/>
    <x v="107"/>
    <x v="4"/>
  </r>
  <r>
    <x v="0"/>
    <x v="67"/>
    <x v="67"/>
    <x v="31"/>
    <x v="31"/>
    <x v="31"/>
    <x v="12"/>
    <x v="312"/>
    <x v="197"/>
    <x v="47"/>
    <x v="47"/>
    <x v="179"/>
    <x v="579"/>
    <x v="4"/>
  </r>
  <r>
    <x v="0"/>
    <x v="67"/>
    <x v="67"/>
    <x v="57"/>
    <x v="57"/>
    <x v="57"/>
    <x v="12"/>
    <x v="312"/>
    <x v="197"/>
    <x v="59"/>
    <x v="160"/>
    <x v="212"/>
    <x v="147"/>
    <x v="4"/>
  </r>
  <r>
    <x v="0"/>
    <x v="67"/>
    <x v="67"/>
    <x v="11"/>
    <x v="11"/>
    <x v="11"/>
    <x v="12"/>
    <x v="312"/>
    <x v="197"/>
    <x v="41"/>
    <x v="690"/>
    <x v="213"/>
    <x v="534"/>
    <x v="4"/>
  </r>
  <r>
    <x v="0"/>
    <x v="67"/>
    <x v="67"/>
    <x v="13"/>
    <x v="13"/>
    <x v="13"/>
    <x v="12"/>
    <x v="312"/>
    <x v="197"/>
    <x v="51"/>
    <x v="157"/>
    <x v="184"/>
    <x v="107"/>
    <x v="4"/>
  </r>
  <r>
    <x v="0"/>
    <x v="67"/>
    <x v="67"/>
    <x v="16"/>
    <x v="16"/>
    <x v="16"/>
    <x v="12"/>
    <x v="312"/>
    <x v="197"/>
    <x v="59"/>
    <x v="160"/>
    <x v="212"/>
    <x v="147"/>
    <x v="4"/>
  </r>
  <r>
    <x v="0"/>
    <x v="67"/>
    <x v="67"/>
    <x v="28"/>
    <x v="28"/>
    <x v="28"/>
    <x v="18"/>
    <x v="313"/>
    <x v="312"/>
    <x v="59"/>
    <x v="160"/>
    <x v="49"/>
    <x v="250"/>
    <x v="4"/>
  </r>
  <r>
    <x v="0"/>
    <x v="67"/>
    <x v="67"/>
    <x v="15"/>
    <x v="15"/>
    <x v="15"/>
    <x v="18"/>
    <x v="313"/>
    <x v="312"/>
    <x v="51"/>
    <x v="157"/>
    <x v="212"/>
    <x v="147"/>
    <x v="4"/>
  </r>
  <r>
    <x v="0"/>
    <x v="67"/>
    <x v="67"/>
    <x v="7"/>
    <x v="7"/>
    <x v="7"/>
    <x v="18"/>
    <x v="313"/>
    <x v="312"/>
    <x v="59"/>
    <x v="160"/>
    <x v="213"/>
    <x v="534"/>
    <x v="4"/>
  </r>
  <r>
    <x v="0"/>
    <x v="68"/>
    <x v="68"/>
    <x v="4"/>
    <x v="4"/>
    <x v="4"/>
    <x v="0"/>
    <x v="73"/>
    <x v="616"/>
    <x v="58"/>
    <x v="139"/>
    <x v="74"/>
    <x v="580"/>
    <x v="4"/>
  </r>
  <r>
    <x v="0"/>
    <x v="68"/>
    <x v="68"/>
    <x v="0"/>
    <x v="0"/>
    <x v="0"/>
    <x v="1"/>
    <x v="112"/>
    <x v="617"/>
    <x v="42"/>
    <x v="691"/>
    <x v="184"/>
    <x v="107"/>
    <x v="4"/>
  </r>
  <r>
    <x v="0"/>
    <x v="68"/>
    <x v="68"/>
    <x v="1"/>
    <x v="1"/>
    <x v="1"/>
    <x v="2"/>
    <x v="113"/>
    <x v="618"/>
    <x v="42"/>
    <x v="691"/>
    <x v="212"/>
    <x v="147"/>
    <x v="4"/>
  </r>
  <r>
    <x v="0"/>
    <x v="68"/>
    <x v="68"/>
    <x v="5"/>
    <x v="5"/>
    <x v="5"/>
    <x v="3"/>
    <x v="286"/>
    <x v="619"/>
    <x v="49"/>
    <x v="90"/>
    <x v="46"/>
    <x v="304"/>
    <x v="4"/>
  </r>
  <r>
    <x v="0"/>
    <x v="68"/>
    <x v="68"/>
    <x v="3"/>
    <x v="3"/>
    <x v="3"/>
    <x v="4"/>
    <x v="56"/>
    <x v="620"/>
    <x v="48"/>
    <x v="632"/>
    <x v="47"/>
    <x v="296"/>
    <x v="4"/>
  </r>
  <r>
    <x v="0"/>
    <x v="68"/>
    <x v="68"/>
    <x v="2"/>
    <x v="2"/>
    <x v="2"/>
    <x v="5"/>
    <x v="287"/>
    <x v="118"/>
    <x v="68"/>
    <x v="692"/>
    <x v="177"/>
    <x v="338"/>
    <x v="4"/>
  </r>
  <r>
    <x v="0"/>
    <x v="68"/>
    <x v="68"/>
    <x v="6"/>
    <x v="6"/>
    <x v="6"/>
    <x v="6"/>
    <x v="307"/>
    <x v="219"/>
    <x v="59"/>
    <x v="693"/>
    <x v="128"/>
    <x v="581"/>
    <x v="4"/>
  </r>
  <r>
    <x v="0"/>
    <x v="68"/>
    <x v="68"/>
    <x v="17"/>
    <x v="17"/>
    <x v="17"/>
    <x v="6"/>
    <x v="307"/>
    <x v="219"/>
    <x v="68"/>
    <x v="692"/>
    <x v="212"/>
    <x v="147"/>
    <x v="4"/>
  </r>
  <r>
    <x v="0"/>
    <x v="68"/>
    <x v="68"/>
    <x v="11"/>
    <x v="11"/>
    <x v="11"/>
    <x v="8"/>
    <x v="309"/>
    <x v="120"/>
    <x v="50"/>
    <x v="694"/>
    <x v="49"/>
    <x v="250"/>
    <x v="4"/>
  </r>
  <r>
    <x v="0"/>
    <x v="68"/>
    <x v="68"/>
    <x v="47"/>
    <x v="47"/>
    <x v="47"/>
    <x v="9"/>
    <x v="310"/>
    <x v="82"/>
    <x v="47"/>
    <x v="47"/>
    <x v="177"/>
    <x v="338"/>
    <x v="4"/>
  </r>
  <r>
    <x v="0"/>
    <x v="68"/>
    <x v="68"/>
    <x v="7"/>
    <x v="7"/>
    <x v="7"/>
    <x v="9"/>
    <x v="310"/>
    <x v="82"/>
    <x v="100"/>
    <x v="229"/>
    <x v="49"/>
    <x v="250"/>
    <x v="4"/>
  </r>
  <r>
    <x v="0"/>
    <x v="68"/>
    <x v="68"/>
    <x v="9"/>
    <x v="9"/>
    <x v="9"/>
    <x v="9"/>
    <x v="310"/>
    <x v="82"/>
    <x v="100"/>
    <x v="229"/>
    <x v="49"/>
    <x v="250"/>
    <x v="4"/>
  </r>
  <r>
    <x v="0"/>
    <x v="68"/>
    <x v="68"/>
    <x v="28"/>
    <x v="28"/>
    <x v="28"/>
    <x v="12"/>
    <x v="312"/>
    <x v="237"/>
    <x v="59"/>
    <x v="693"/>
    <x v="212"/>
    <x v="147"/>
    <x v="4"/>
  </r>
  <r>
    <x v="0"/>
    <x v="68"/>
    <x v="68"/>
    <x v="24"/>
    <x v="24"/>
    <x v="24"/>
    <x v="12"/>
    <x v="312"/>
    <x v="237"/>
    <x v="51"/>
    <x v="695"/>
    <x v="184"/>
    <x v="107"/>
    <x v="4"/>
  </r>
  <r>
    <x v="0"/>
    <x v="68"/>
    <x v="68"/>
    <x v="18"/>
    <x v="18"/>
    <x v="18"/>
    <x v="12"/>
    <x v="312"/>
    <x v="237"/>
    <x v="59"/>
    <x v="693"/>
    <x v="212"/>
    <x v="147"/>
    <x v="4"/>
  </r>
  <r>
    <x v="0"/>
    <x v="68"/>
    <x v="68"/>
    <x v="21"/>
    <x v="21"/>
    <x v="21"/>
    <x v="12"/>
    <x v="312"/>
    <x v="237"/>
    <x v="47"/>
    <x v="47"/>
    <x v="179"/>
    <x v="579"/>
    <x v="4"/>
  </r>
  <r>
    <x v="0"/>
    <x v="68"/>
    <x v="68"/>
    <x v="8"/>
    <x v="8"/>
    <x v="8"/>
    <x v="12"/>
    <x v="312"/>
    <x v="237"/>
    <x v="33"/>
    <x v="641"/>
    <x v="49"/>
    <x v="250"/>
    <x v="4"/>
  </r>
  <r>
    <x v="0"/>
    <x v="68"/>
    <x v="68"/>
    <x v="20"/>
    <x v="20"/>
    <x v="20"/>
    <x v="12"/>
    <x v="312"/>
    <x v="237"/>
    <x v="51"/>
    <x v="695"/>
    <x v="184"/>
    <x v="107"/>
    <x v="4"/>
  </r>
  <r>
    <x v="0"/>
    <x v="68"/>
    <x v="68"/>
    <x v="46"/>
    <x v="46"/>
    <x v="46"/>
    <x v="18"/>
    <x v="313"/>
    <x v="138"/>
    <x v="51"/>
    <x v="695"/>
    <x v="212"/>
    <x v="147"/>
    <x v="4"/>
  </r>
  <r>
    <x v="0"/>
    <x v="68"/>
    <x v="68"/>
    <x v="19"/>
    <x v="19"/>
    <x v="19"/>
    <x v="18"/>
    <x v="313"/>
    <x v="138"/>
    <x v="51"/>
    <x v="695"/>
    <x v="212"/>
    <x v="147"/>
    <x v="4"/>
  </r>
  <r>
    <x v="0"/>
    <x v="68"/>
    <x v="68"/>
    <x v="25"/>
    <x v="25"/>
    <x v="25"/>
    <x v="18"/>
    <x v="313"/>
    <x v="138"/>
    <x v="47"/>
    <x v="47"/>
    <x v="184"/>
    <x v="107"/>
    <x v="4"/>
  </r>
  <r>
    <x v="0"/>
    <x v="68"/>
    <x v="68"/>
    <x v="16"/>
    <x v="16"/>
    <x v="16"/>
    <x v="18"/>
    <x v="313"/>
    <x v="138"/>
    <x v="51"/>
    <x v="695"/>
    <x v="212"/>
    <x v="147"/>
    <x v="4"/>
  </r>
  <r>
    <x v="0"/>
    <x v="69"/>
    <x v="69"/>
    <x v="0"/>
    <x v="0"/>
    <x v="0"/>
    <x v="0"/>
    <x v="204"/>
    <x v="621"/>
    <x v="82"/>
    <x v="696"/>
    <x v="166"/>
    <x v="579"/>
    <x v="4"/>
  </r>
  <r>
    <x v="0"/>
    <x v="69"/>
    <x v="69"/>
    <x v="1"/>
    <x v="1"/>
    <x v="1"/>
    <x v="1"/>
    <x v="68"/>
    <x v="622"/>
    <x v="102"/>
    <x v="697"/>
    <x v="166"/>
    <x v="579"/>
    <x v="4"/>
  </r>
  <r>
    <x v="0"/>
    <x v="69"/>
    <x v="69"/>
    <x v="4"/>
    <x v="4"/>
    <x v="4"/>
    <x v="2"/>
    <x v="239"/>
    <x v="623"/>
    <x v="60"/>
    <x v="7"/>
    <x v="66"/>
    <x v="582"/>
    <x v="4"/>
  </r>
  <r>
    <x v="0"/>
    <x v="69"/>
    <x v="69"/>
    <x v="5"/>
    <x v="5"/>
    <x v="5"/>
    <x v="3"/>
    <x v="70"/>
    <x v="624"/>
    <x v="42"/>
    <x v="334"/>
    <x v="53"/>
    <x v="507"/>
    <x v="4"/>
  </r>
  <r>
    <x v="0"/>
    <x v="69"/>
    <x v="69"/>
    <x v="3"/>
    <x v="3"/>
    <x v="3"/>
    <x v="4"/>
    <x v="111"/>
    <x v="308"/>
    <x v="37"/>
    <x v="698"/>
    <x v="62"/>
    <x v="24"/>
    <x v="4"/>
  </r>
  <r>
    <x v="0"/>
    <x v="69"/>
    <x v="69"/>
    <x v="7"/>
    <x v="7"/>
    <x v="7"/>
    <x v="5"/>
    <x v="113"/>
    <x v="467"/>
    <x v="67"/>
    <x v="243"/>
    <x v="47"/>
    <x v="35"/>
    <x v="4"/>
  </r>
  <r>
    <x v="0"/>
    <x v="69"/>
    <x v="69"/>
    <x v="9"/>
    <x v="9"/>
    <x v="9"/>
    <x v="6"/>
    <x v="120"/>
    <x v="406"/>
    <x v="157"/>
    <x v="562"/>
    <x v="179"/>
    <x v="16"/>
    <x v="4"/>
  </r>
  <r>
    <x v="0"/>
    <x v="69"/>
    <x v="69"/>
    <x v="8"/>
    <x v="8"/>
    <x v="8"/>
    <x v="7"/>
    <x v="54"/>
    <x v="9"/>
    <x v="37"/>
    <x v="698"/>
    <x v="177"/>
    <x v="365"/>
    <x v="4"/>
  </r>
  <r>
    <x v="0"/>
    <x v="69"/>
    <x v="69"/>
    <x v="6"/>
    <x v="6"/>
    <x v="6"/>
    <x v="8"/>
    <x v="285"/>
    <x v="232"/>
    <x v="49"/>
    <x v="486"/>
    <x v="54"/>
    <x v="474"/>
    <x v="4"/>
  </r>
  <r>
    <x v="0"/>
    <x v="69"/>
    <x v="69"/>
    <x v="11"/>
    <x v="11"/>
    <x v="11"/>
    <x v="8"/>
    <x v="285"/>
    <x v="232"/>
    <x v="96"/>
    <x v="488"/>
    <x v="47"/>
    <x v="35"/>
    <x v="4"/>
  </r>
  <r>
    <x v="0"/>
    <x v="69"/>
    <x v="69"/>
    <x v="2"/>
    <x v="2"/>
    <x v="2"/>
    <x v="8"/>
    <x v="285"/>
    <x v="232"/>
    <x v="68"/>
    <x v="224"/>
    <x v="46"/>
    <x v="210"/>
    <x v="4"/>
  </r>
  <r>
    <x v="0"/>
    <x v="69"/>
    <x v="69"/>
    <x v="14"/>
    <x v="14"/>
    <x v="14"/>
    <x v="11"/>
    <x v="292"/>
    <x v="262"/>
    <x v="50"/>
    <x v="410"/>
    <x v="166"/>
    <x v="579"/>
    <x v="4"/>
  </r>
  <r>
    <x v="0"/>
    <x v="69"/>
    <x v="69"/>
    <x v="17"/>
    <x v="17"/>
    <x v="17"/>
    <x v="12"/>
    <x v="287"/>
    <x v="97"/>
    <x v="34"/>
    <x v="699"/>
    <x v="212"/>
    <x v="448"/>
    <x v="4"/>
  </r>
  <r>
    <x v="0"/>
    <x v="69"/>
    <x v="69"/>
    <x v="16"/>
    <x v="16"/>
    <x v="16"/>
    <x v="13"/>
    <x v="299"/>
    <x v="322"/>
    <x v="50"/>
    <x v="410"/>
    <x v="177"/>
    <x v="365"/>
    <x v="4"/>
  </r>
  <r>
    <x v="0"/>
    <x v="69"/>
    <x v="69"/>
    <x v="15"/>
    <x v="15"/>
    <x v="15"/>
    <x v="14"/>
    <x v="306"/>
    <x v="121"/>
    <x v="41"/>
    <x v="312"/>
    <x v="47"/>
    <x v="35"/>
    <x v="4"/>
  </r>
  <r>
    <x v="0"/>
    <x v="69"/>
    <x v="69"/>
    <x v="12"/>
    <x v="12"/>
    <x v="12"/>
    <x v="15"/>
    <x v="308"/>
    <x v="68"/>
    <x v="51"/>
    <x v="93"/>
    <x v="128"/>
    <x v="146"/>
    <x v="4"/>
  </r>
  <r>
    <x v="0"/>
    <x v="69"/>
    <x v="69"/>
    <x v="18"/>
    <x v="18"/>
    <x v="18"/>
    <x v="16"/>
    <x v="314"/>
    <x v="69"/>
    <x v="33"/>
    <x v="274"/>
    <x v="167"/>
    <x v="39"/>
    <x v="4"/>
  </r>
  <r>
    <x v="0"/>
    <x v="69"/>
    <x v="69"/>
    <x v="13"/>
    <x v="13"/>
    <x v="13"/>
    <x v="16"/>
    <x v="314"/>
    <x v="69"/>
    <x v="41"/>
    <x v="312"/>
    <x v="179"/>
    <x v="16"/>
    <x v="4"/>
  </r>
  <r>
    <x v="0"/>
    <x v="69"/>
    <x v="69"/>
    <x v="19"/>
    <x v="19"/>
    <x v="19"/>
    <x v="18"/>
    <x v="309"/>
    <x v="312"/>
    <x v="47"/>
    <x v="47"/>
    <x v="47"/>
    <x v="35"/>
    <x v="4"/>
  </r>
  <r>
    <x v="0"/>
    <x v="69"/>
    <x v="69"/>
    <x v="10"/>
    <x v="10"/>
    <x v="10"/>
    <x v="18"/>
    <x v="309"/>
    <x v="312"/>
    <x v="100"/>
    <x v="16"/>
    <x v="212"/>
    <x v="448"/>
    <x v="4"/>
  </r>
  <r>
    <x v="0"/>
    <x v="69"/>
    <x v="69"/>
    <x v="20"/>
    <x v="20"/>
    <x v="20"/>
    <x v="18"/>
    <x v="309"/>
    <x v="312"/>
    <x v="47"/>
    <x v="47"/>
    <x v="177"/>
    <x v="365"/>
    <x v="0"/>
  </r>
  <r>
    <x v="0"/>
    <x v="70"/>
    <x v="70"/>
    <x v="1"/>
    <x v="1"/>
    <x v="1"/>
    <x v="0"/>
    <x v="178"/>
    <x v="625"/>
    <x v="179"/>
    <x v="482"/>
    <x v="128"/>
    <x v="56"/>
    <x v="4"/>
  </r>
  <r>
    <x v="0"/>
    <x v="70"/>
    <x v="70"/>
    <x v="0"/>
    <x v="0"/>
    <x v="0"/>
    <x v="1"/>
    <x v="179"/>
    <x v="626"/>
    <x v="52"/>
    <x v="252"/>
    <x v="128"/>
    <x v="56"/>
    <x v="4"/>
  </r>
  <r>
    <x v="0"/>
    <x v="70"/>
    <x v="70"/>
    <x v="5"/>
    <x v="5"/>
    <x v="5"/>
    <x v="2"/>
    <x v="45"/>
    <x v="627"/>
    <x v="104"/>
    <x v="46"/>
    <x v="53"/>
    <x v="491"/>
    <x v="4"/>
  </r>
  <r>
    <x v="0"/>
    <x v="70"/>
    <x v="70"/>
    <x v="4"/>
    <x v="4"/>
    <x v="4"/>
    <x v="3"/>
    <x v="46"/>
    <x v="628"/>
    <x v="103"/>
    <x v="211"/>
    <x v="48"/>
    <x v="574"/>
    <x v="4"/>
  </r>
  <r>
    <x v="0"/>
    <x v="70"/>
    <x v="70"/>
    <x v="3"/>
    <x v="3"/>
    <x v="3"/>
    <x v="4"/>
    <x v="72"/>
    <x v="521"/>
    <x v="42"/>
    <x v="700"/>
    <x v="51"/>
    <x v="583"/>
    <x v="4"/>
  </r>
  <r>
    <x v="0"/>
    <x v="70"/>
    <x v="70"/>
    <x v="8"/>
    <x v="8"/>
    <x v="8"/>
    <x v="4"/>
    <x v="72"/>
    <x v="521"/>
    <x v="65"/>
    <x v="701"/>
    <x v="128"/>
    <x v="56"/>
    <x v="4"/>
  </r>
  <r>
    <x v="0"/>
    <x v="70"/>
    <x v="70"/>
    <x v="6"/>
    <x v="6"/>
    <x v="6"/>
    <x v="6"/>
    <x v="51"/>
    <x v="220"/>
    <x v="49"/>
    <x v="199"/>
    <x v="108"/>
    <x v="584"/>
    <x v="4"/>
  </r>
  <r>
    <x v="0"/>
    <x v="70"/>
    <x v="70"/>
    <x v="9"/>
    <x v="9"/>
    <x v="9"/>
    <x v="6"/>
    <x v="51"/>
    <x v="220"/>
    <x v="89"/>
    <x v="702"/>
    <x v="212"/>
    <x v="561"/>
    <x v="4"/>
  </r>
  <r>
    <x v="0"/>
    <x v="70"/>
    <x v="70"/>
    <x v="11"/>
    <x v="11"/>
    <x v="11"/>
    <x v="8"/>
    <x v="119"/>
    <x v="537"/>
    <x v="38"/>
    <x v="643"/>
    <x v="62"/>
    <x v="585"/>
    <x v="4"/>
  </r>
  <r>
    <x v="0"/>
    <x v="70"/>
    <x v="70"/>
    <x v="7"/>
    <x v="7"/>
    <x v="7"/>
    <x v="9"/>
    <x v="112"/>
    <x v="542"/>
    <x v="77"/>
    <x v="703"/>
    <x v="179"/>
    <x v="560"/>
    <x v="4"/>
  </r>
  <r>
    <x v="0"/>
    <x v="70"/>
    <x v="70"/>
    <x v="2"/>
    <x v="2"/>
    <x v="2"/>
    <x v="10"/>
    <x v="53"/>
    <x v="157"/>
    <x v="49"/>
    <x v="199"/>
    <x v="55"/>
    <x v="409"/>
    <x v="4"/>
  </r>
  <r>
    <x v="0"/>
    <x v="70"/>
    <x v="70"/>
    <x v="17"/>
    <x v="17"/>
    <x v="17"/>
    <x v="11"/>
    <x v="54"/>
    <x v="456"/>
    <x v="60"/>
    <x v="570"/>
    <x v="212"/>
    <x v="561"/>
    <x v="4"/>
  </r>
  <r>
    <x v="0"/>
    <x v="70"/>
    <x v="70"/>
    <x v="13"/>
    <x v="13"/>
    <x v="13"/>
    <x v="12"/>
    <x v="55"/>
    <x v="332"/>
    <x v="48"/>
    <x v="704"/>
    <x v="46"/>
    <x v="586"/>
    <x v="4"/>
  </r>
  <r>
    <x v="0"/>
    <x v="70"/>
    <x v="70"/>
    <x v="15"/>
    <x v="15"/>
    <x v="15"/>
    <x v="13"/>
    <x v="285"/>
    <x v="629"/>
    <x v="59"/>
    <x v="216"/>
    <x v="114"/>
    <x v="370"/>
    <x v="4"/>
  </r>
  <r>
    <x v="0"/>
    <x v="70"/>
    <x v="70"/>
    <x v="20"/>
    <x v="20"/>
    <x v="20"/>
    <x v="14"/>
    <x v="56"/>
    <x v="301"/>
    <x v="47"/>
    <x v="47"/>
    <x v="112"/>
    <x v="573"/>
    <x v="4"/>
  </r>
  <r>
    <x v="0"/>
    <x v="70"/>
    <x v="70"/>
    <x v="14"/>
    <x v="14"/>
    <x v="14"/>
    <x v="15"/>
    <x v="288"/>
    <x v="67"/>
    <x v="48"/>
    <x v="704"/>
    <x v="179"/>
    <x v="560"/>
    <x v="4"/>
  </r>
  <r>
    <x v="0"/>
    <x v="70"/>
    <x v="70"/>
    <x v="12"/>
    <x v="12"/>
    <x v="12"/>
    <x v="16"/>
    <x v="306"/>
    <x v="86"/>
    <x v="41"/>
    <x v="398"/>
    <x v="47"/>
    <x v="85"/>
    <x v="4"/>
  </r>
  <r>
    <x v="0"/>
    <x v="70"/>
    <x v="70"/>
    <x v="16"/>
    <x v="16"/>
    <x v="16"/>
    <x v="16"/>
    <x v="306"/>
    <x v="86"/>
    <x v="41"/>
    <x v="398"/>
    <x v="47"/>
    <x v="85"/>
    <x v="4"/>
  </r>
  <r>
    <x v="0"/>
    <x v="70"/>
    <x v="70"/>
    <x v="18"/>
    <x v="18"/>
    <x v="18"/>
    <x v="18"/>
    <x v="307"/>
    <x v="265"/>
    <x v="59"/>
    <x v="216"/>
    <x v="128"/>
    <x v="56"/>
    <x v="4"/>
  </r>
  <r>
    <x v="0"/>
    <x v="70"/>
    <x v="70"/>
    <x v="22"/>
    <x v="22"/>
    <x v="22"/>
    <x v="18"/>
    <x v="307"/>
    <x v="265"/>
    <x v="59"/>
    <x v="216"/>
    <x v="47"/>
    <x v="85"/>
    <x v="0"/>
  </r>
  <r>
    <x v="0"/>
    <x v="71"/>
    <x v="71"/>
    <x v="2"/>
    <x v="2"/>
    <x v="2"/>
    <x v="0"/>
    <x v="98"/>
    <x v="630"/>
    <x v="40"/>
    <x v="705"/>
    <x v="104"/>
    <x v="587"/>
    <x v="4"/>
  </r>
  <r>
    <x v="0"/>
    <x v="71"/>
    <x v="71"/>
    <x v="0"/>
    <x v="0"/>
    <x v="0"/>
    <x v="1"/>
    <x v="168"/>
    <x v="631"/>
    <x v="133"/>
    <x v="706"/>
    <x v="166"/>
    <x v="140"/>
    <x v="4"/>
  </r>
  <r>
    <x v="0"/>
    <x v="71"/>
    <x v="71"/>
    <x v="1"/>
    <x v="1"/>
    <x v="1"/>
    <x v="2"/>
    <x v="204"/>
    <x v="239"/>
    <x v="108"/>
    <x v="707"/>
    <x v="177"/>
    <x v="364"/>
    <x v="4"/>
  </r>
  <r>
    <x v="0"/>
    <x v="71"/>
    <x v="71"/>
    <x v="6"/>
    <x v="6"/>
    <x v="6"/>
    <x v="3"/>
    <x v="221"/>
    <x v="368"/>
    <x v="41"/>
    <x v="529"/>
    <x v="89"/>
    <x v="588"/>
    <x v="4"/>
  </r>
  <r>
    <x v="0"/>
    <x v="71"/>
    <x v="71"/>
    <x v="5"/>
    <x v="5"/>
    <x v="5"/>
    <x v="3"/>
    <x v="221"/>
    <x v="368"/>
    <x v="140"/>
    <x v="708"/>
    <x v="54"/>
    <x v="589"/>
    <x v="4"/>
  </r>
  <r>
    <x v="0"/>
    <x v="71"/>
    <x v="71"/>
    <x v="4"/>
    <x v="4"/>
    <x v="4"/>
    <x v="5"/>
    <x v="72"/>
    <x v="546"/>
    <x v="38"/>
    <x v="590"/>
    <x v="72"/>
    <x v="256"/>
    <x v="4"/>
  </r>
  <r>
    <x v="0"/>
    <x v="71"/>
    <x v="71"/>
    <x v="8"/>
    <x v="8"/>
    <x v="8"/>
    <x v="6"/>
    <x v="146"/>
    <x v="61"/>
    <x v="42"/>
    <x v="656"/>
    <x v="166"/>
    <x v="140"/>
    <x v="4"/>
  </r>
  <r>
    <x v="0"/>
    <x v="71"/>
    <x v="71"/>
    <x v="3"/>
    <x v="3"/>
    <x v="3"/>
    <x v="7"/>
    <x v="50"/>
    <x v="280"/>
    <x v="34"/>
    <x v="532"/>
    <x v="74"/>
    <x v="590"/>
    <x v="4"/>
  </r>
  <r>
    <x v="0"/>
    <x v="71"/>
    <x v="71"/>
    <x v="7"/>
    <x v="7"/>
    <x v="7"/>
    <x v="8"/>
    <x v="112"/>
    <x v="107"/>
    <x v="42"/>
    <x v="656"/>
    <x v="184"/>
    <x v="148"/>
    <x v="4"/>
  </r>
  <r>
    <x v="0"/>
    <x v="71"/>
    <x v="71"/>
    <x v="9"/>
    <x v="9"/>
    <x v="9"/>
    <x v="9"/>
    <x v="53"/>
    <x v="222"/>
    <x v="39"/>
    <x v="709"/>
    <x v="212"/>
    <x v="591"/>
    <x v="4"/>
  </r>
  <r>
    <x v="0"/>
    <x v="71"/>
    <x v="71"/>
    <x v="10"/>
    <x v="10"/>
    <x v="10"/>
    <x v="10"/>
    <x v="120"/>
    <x v="108"/>
    <x v="37"/>
    <x v="49"/>
    <x v="47"/>
    <x v="592"/>
    <x v="4"/>
  </r>
  <r>
    <x v="0"/>
    <x v="71"/>
    <x v="71"/>
    <x v="11"/>
    <x v="11"/>
    <x v="11"/>
    <x v="11"/>
    <x v="54"/>
    <x v="632"/>
    <x v="45"/>
    <x v="575"/>
    <x v="167"/>
    <x v="253"/>
    <x v="4"/>
  </r>
  <r>
    <x v="0"/>
    <x v="71"/>
    <x v="71"/>
    <x v="16"/>
    <x v="16"/>
    <x v="16"/>
    <x v="11"/>
    <x v="54"/>
    <x v="632"/>
    <x v="60"/>
    <x v="154"/>
    <x v="212"/>
    <x v="591"/>
    <x v="4"/>
  </r>
  <r>
    <x v="0"/>
    <x v="71"/>
    <x v="71"/>
    <x v="13"/>
    <x v="13"/>
    <x v="13"/>
    <x v="13"/>
    <x v="299"/>
    <x v="148"/>
    <x v="68"/>
    <x v="213"/>
    <x v="179"/>
    <x v="90"/>
    <x v="4"/>
  </r>
  <r>
    <x v="0"/>
    <x v="71"/>
    <x v="71"/>
    <x v="18"/>
    <x v="18"/>
    <x v="18"/>
    <x v="14"/>
    <x v="314"/>
    <x v="531"/>
    <x v="59"/>
    <x v="710"/>
    <x v="177"/>
    <x v="364"/>
    <x v="4"/>
  </r>
  <r>
    <x v="0"/>
    <x v="71"/>
    <x v="71"/>
    <x v="25"/>
    <x v="25"/>
    <x v="25"/>
    <x v="14"/>
    <x v="314"/>
    <x v="531"/>
    <x v="33"/>
    <x v="659"/>
    <x v="167"/>
    <x v="253"/>
    <x v="4"/>
  </r>
  <r>
    <x v="0"/>
    <x v="71"/>
    <x v="71"/>
    <x v="15"/>
    <x v="15"/>
    <x v="15"/>
    <x v="14"/>
    <x v="314"/>
    <x v="531"/>
    <x v="51"/>
    <x v="67"/>
    <x v="47"/>
    <x v="592"/>
    <x v="4"/>
  </r>
  <r>
    <x v="0"/>
    <x v="71"/>
    <x v="71"/>
    <x v="17"/>
    <x v="17"/>
    <x v="17"/>
    <x v="14"/>
    <x v="314"/>
    <x v="531"/>
    <x v="49"/>
    <x v="52"/>
    <x v="49"/>
    <x v="593"/>
    <x v="4"/>
  </r>
  <r>
    <x v="0"/>
    <x v="71"/>
    <x v="71"/>
    <x v="32"/>
    <x v="32"/>
    <x v="32"/>
    <x v="18"/>
    <x v="309"/>
    <x v="633"/>
    <x v="41"/>
    <x v="529"/>
    <x v="184"/>
    <x v="148"/>
    <x v="4"/>
  </r>
  <r>
    <x v="0"/>
    <x v="71"/>
    <x v="71"/>
    <x v="29"/>
    <x v="29"/>
    <x v="29"/>
    <x v="18"/>
    <x v="309"/>
    <x v="633"/>
    <x v="59"/>
    <x v="710"/>
    <x v="167"/>
    <x v="253"/>
    <x v="4"/>
  </r>
  <r>
    <x v="0"/>
    <x v="72"/>
    <x v="72"/>
    <x v="0"/>
    <x v="0"/>
    <x v="0"/>
    <x v="0"/>
    <x v="85"/>
    <x v="634"/>
    <x v="203"/>
    <x v="205"/>
    <x v="166"/>
    <x v="207"/>
    <x v="4"/>
  </r>
  <r>
    <x v="0"/>
    <x v="72"/>
    <x v="72"/>
    <x v="4"/>
    <x v="4"/>
    <x v="4"/>
    <x v="1"/>
    <x v="201"/>
    <x v="635"/>
    <x v="72"/>
    <x v="251"/>
    <x v="98"/>
    <x v="594"/>
    <x v="4"/>
  </r>
  <r>
    <x v="0"/>
    <x v="72"/>
    <x v="72"/>
    <x v="1"/>
    <x v="1"/>
    <x v="1"/>
    <x v="2"/>
    <x v="99"/>
    <x v="154"/>
    <x v="107"/>
    <x v="100"/>
    <x v="54"/>
    <x v="325"/>
    <x v="4"/>
  </r>
  <r>
    <x v="0"/>
    <x v="72"/>
    <x v="72"/>
    <x v="3"/>
    <x v="3"/>
    <x v="3"/>
    <x v="3"/>
    <x v="254"/>
    <x v="203"/>
    <x v="140"/>
    <x v="711"/>
    <x v="129"/>
    <x v="266"/>
    <x v="4"/>
  </r>
  <r>
    <x v="0"/>
    <x v="72"/>
    <x v="72"/>
    <x v="5"/>
    <x v="5"/>
    <x v="5"/>
    <x v="4"/>
    <x v="46"/>
    <x v="636"/>
    <x v="46"/>
    <x v="504"/>
    <x v="52"/>
    <x v="595"/>
    <x v="4"/>
  </r>
  <r>
    <x v="0"/>
    <x v="72"/>
    <x v="72"/>
    <x v="6"/>
    <x v="6"/>
    <x v="6"/>
    <x v="5"/>
    <x v="90"/>
    <x v="23"/>
    <x v="96"/>
    <x v="712"/>
    <x v="97"/>
    <x v="4"/>
    <x v="4"/>
  </r>
  <r>
    <x v="0"/>
    <x v="72"/>
    <x v="72"/>
    <x v="2"/>
    <x v="2"/>
    <x v="2"/>
    <x v="6"/>
    <x v="47"/>
    <x v="349"/>
    <x v="45"/>
    <x v="713"/>
    <x v="50"/>
    <x v="596"/>
    <x v="0"/>
  </r>
  <r>
    <x v="0"/>
    <x v="72"/>
    <x v="72"/>
    <x v="8"/>
    <x v="8"/>
    <x v="8"/>
    <x v="7"/>
    <x v="241"/>
    <x v="327"/>
    <x v="80"/>
    <x v="714"/>
    <x v="47"/>
    <x v="70"/>
    <x v="4"/>
  </r>
  <r>
    <x v="0"/>
    <x v="72"/>
    <x v="72"/>
    <x v="11"/>
    <x v="11"/>
    <x v="11"/>
    <x v="8"/>
    <x v="70"/>
    <x v="504"/>
    <x v="103"/>
    <x v="715"/>
    <x v="43"/>
    <x v="573"/>
    <x v="4"/>
  </r>
  <r>
    <x v="0"/>
    <x v="72"/>
    <x v="72"/>
    <x v="7"/>
    <x v="7"/>
    <x v="7"/>
    <x v="9"/>
    <x v="145"/>
    <x v="107"/>
    <x v="140"/>
    <x v="711"/>
    <x v="167"/>
    <x v="284"/>
    <x v="4"/>
  </r>
  <r>
    <x v="0"/>
    <x v="72"/>
    <x v="72"/>
    <x v="9"/>
    <x v="9"/>
    <x v="9"/>
    <x v="10"/>
    <x v="51"/>
    <x v="637"/>
    <x v="89"/>
    <x v="657"/>
    <x v="212"/>
    <x v="519"/>
    <x v="4"/>
  </r>
  <r>
    <x v="0"/>
    <x v="72"/>
    <x v="72"/>
    <x v="12"/>
    <x v="12"/>
    <x v="12"/>
    <x v="11"/>
    <x v="53"/>
    <x v="491"/>
    <x v="49"/>
    <x v="358"/>
    <x v="55"/>
    <x v="597"/>
    <x v="4"/>
  </r>
  <r>
    <x v="0"/>
    <x v="72"/>
    <x v="72"/>
    <x v="13"/>
    <x v="13"/>
    <x v="13"/>
    <x v="12"/>
    <x v="54"/>
    <x v="187"/>
    <x v="49"/>
    <x v="358"/>
    <x v="62"/>
    <x v="374"/>
    <x v="4"/>
  </r>
  <r>
    <x v="0"/>
    <x v="72"/>
    <x v="72"/>
    <x v="14"/>
    <x v="14"/>
    <x v="14"/>
    <x v="13"/>
    <x v="286"/>
    <x v="173"/>
    <x v="34"/>
    <x v="233"/>
    <x v="167"/>
    <x v="284"/>
    <x v="4"/>
  </r>
  <r>
    <x v="0"/>
    <x v="72"/>
    <x v="72"/>
    <x v="15"/>
    <x v="15"/>
    <x v="15"/>
    <x v="13"/>
    <x v="286"/>
    <x v="173"/>
    <x v="33"/>
    <x v="430"/>
    <x v="51"/>
    <x v="175"/>
    <x v="4"/>
  </r>
  <r>
    <x v="0"/>
    <x v="72"/>
    <x v="72"/>
    <x v="16"/>
    <x v="16"/>
    <x v="16"/>
    <x v="15"/>
    <x v="56"/>
    <x v="148"/>
    <x v="68"/>
    <x v="23"/>
    <x v="128"/>
    <x v="139"/>
    <x v="4"/>
  </r>
  <r>
    <x v="0"/>
    <x v="72"/>
    <x v="72"/>
    <x v="22"/>
    <x v="22"/>
    <x v="22"/>
    <x v="16"/>
    <x v="287"/>
    <x v="198"/>
    <x v="51"/>
    <x v="203"/>
    <x v="112"/>
    <x v="375"/>
    <x v="4"/>
  </r>
  <r>
    <x v="0"/>
    <x v="72"/>
    <x v="72"/>
    <x v="24"/>
    <x v="24"/>
    <x v="24"/>
    <x v="17"/>
    <x v="288"/>
    <x v="277"/>
    <x v="51"/>
    <x v="203"/>
    <x v="62"/>
    <x v="374"/>
    <x v="4"/>
  </r>
  <r>
    <x v="0"/>
    <x v="72"/>
    <x v="72"/>
    <x v="17"/>
    <x v="17"/>
    <x v="17"/>
    <x v="17"/>
    <x v="288"/>
    <x v="277"/>
    <x v="67"/>
    <x v="68"/>
    <x v="184"/>
    <x v="518"/>
    <x v="4"/>
  </r>
  <r>
    <x v="0"/>
    <x v="72"/>
    <x v="72"/>
    <x v="18"/>
    <x v="18"/>
    <x v="18"/>
    <x v="19"/>
    <x v="299"/>
    <x v="265"/>
    <x v="33"/>
    <x v="430"/>
    <x v="166"/>
    <x v="207"/>
    <x v="4"/>
  </r>
  <r>
    <x v="0"/>
    <x v="73"/>
    <x v="73"/>
    <x v="2"/>
    <x v="2"/>
    <x v="2"/>
    <x v="0"/>
    <x v="66"/>
    <x v="638"/>
    <x v="193"/>
    <x v="716"/>
    <x v="55"/>
    <x v="598"/>
    <x v="4"/>
  </r>
  <r>
    <x v="0"/>
    <x v="73"/>
    <x v="73"/>
    <x v="3"/>
    <x v="3"/>
    <x v="3"/>
    <x v="1"/>
    <x v="264"/>
    <x v="639"/>
    <x v="105"/>
    <x v="668"/>
    <x v="97"/>
    <x v="599"/>
    <x v="4"/>
  </r>
  <r>
    <x v="0"/>
    <x v="73"/>
    <x v="73"/>
    <x v="0"/>
    <x v="0"/>
    <x v="0"/>
    <x v="2"/>
    <x v="47"/>
    <x v="474"/>
    <x v="44"/>
    <x v="353"/>
    <x v="47"/>
    <x v="8"/>
    <x v="4"/>
  </r>
  <r>
    <x v="0"/>
    <x v="73"/>
    <x v="73"/>
    <x v="6"/>
    <x v="6"/>
    <x v="6"/>
    <x v="3"/>
    <x v="48"/>
    <x v="154"/>
    <x v="48"/>
    <x v="418"/>
    <x v="89"/>
    <x v="600"/>
    <x v="4"/>
  </r>
  <r>
    <x v="0"/>
    <x v="73"/>
    <x v="73"/>
    <x v="4"/>
    <x v="4"/>
    <x v="4"/>
    <x v="4"/>
    <x v="118"/>
    <x v="448"/>
    <x v="38"/>
    <x v="154"/>
    <x v="48"/>
    <x v="601"/>
    <x v="4"/>
  </r>
  <r>
    <x v="0"/>
    <x v="73"/>
    <x v="73"/>
    <x v="1"/>
    <x v="1"/>
    <x v="1"/>
    <x v="5"/>
    <x v="221"/>
    <x v="562"/>
    <x v="65"/>
    <x v="383"/>
    <x v="166"/>
    <x v="602"/>
    <x v="4"/>
  </r>
  <r>
    <x v="0"/>
    <x v="73"/>
    <x v="73"/>
    <x v="12"/>
    <x v="12"/>
    <x v="12"/>
    <x v="6"/>
    <x v="146"/>
    <x v="640"/>
    <x v="49"/>
    <x v="717"/>
    <x v="93"/>
    <x v="603"/>
    <x v="4"/>
  </r>
  <r>
    <x v="0"/>
    <x v="73"/>
    <x v="73"/>
    <x v="11"/>
    <x v="11"/>
    <x v="11"/>
    <x v="7"/>
    <x v="113"/>
    <x v="134"/>
    <x v="68"/>
    <x v="233"/>
    <x v="55"/>
    <x v="598"/>
    <x v="4"/>
  </r>
  <r>
    <x v="0"/>
    <x v="73"/>
    <x v="73"/>
    <x v="5"/>
    <x v="5"/>
    <x v="5"/>
    <x v="8"/>
    <x v="55"/>
    <x v="331"/>
    <x v="68"/>
    <x v="233"/>
    <x v="54"/>
    <x v="227"/>
    <x v="4"/>
  </r>
  <r>
    <x v="0"/>
    <x v="73"/>
    <x v="73"/>
    <x v="17"/>
    <x v="17"/>
    <x v="17"/>
    <x v="9"/>
    <x v="285"/>
    <x v="310"/>
    <x v="45"/>
    <x v="700"/>
    <x v="184"/>
    <x v="188"/>
    <x v="4"/>
  </r>
  <r>
    <x v="0"/>
    <x v="73"/>
    <x v="73"/>
    <x v="32"/>
    <x v="32"/>
    <x v="32"/>
    <x v="10"/>
    <x v="56"/>
    <x v="490"/>
    <x v="48"/>
    <x v="418"/>
    <x v="47"/>
    <x v="8"/>
    <x v="4"/>
  </r>
  <r>
    <x v="0"/>
    <x v="73"/>
    <x v="73"/>
    <x v="19"/>
    <x v="19"/>
    <x v="19"/>
    <x v="11"/>
    <x v="287"/>
    <x v="391"/>
    <x v="100"/>
    <x v="199"/>
    <x v="166"/>
    <x v="602"/>
    <x v="4"/>
  </r>
  <r>
    <x v="0"/>
    <x v="73"/>
    <x v="73"/>
    <x v="7"/>
    <x v="7"/>
    <x v="7"/>
    <x v="11"/>
    <x v="287"/>
    <x v="391"/>
    <x v="96"/>
    <x v="718"/>
    <x v="212"/>
    <x v="604"/>
    <x v="4"/>
  </r>
  <r>
    <x v="0"/>
    <x v="73"/>
    <x v="73"/>
    <x v="8"/>
    <x v="8"/>
    <x v="8"/>
    <x v="13"/>
    <x v="288"/>
    <x v="66"/>
    <x v="67"/>
    <x v="713"/>
    <x v="184"/>
    <x v="188"/>
    <x v="4"/>
  </r>
  <r>
    <x v="0"/>
    <x v="73"/>
    <x v="73"/>
    <x v="31"/>
    <x v="31"/>
    <x v="31"/>
    <x v="14"/>
    <x v="306"/>
    <x v="211"/>
    <x v="59"/>
    <x v="430"/>
    <x v="166"/>
    <x v="602"/>
    <x v="4"/>
  </r>
  <r>
    <x v="0"/>
    <x v="73"/>
    <x v="73"/>
    <x v="18"/>
    <x v="18"/>
    <x v="18"/>
    <x v="14"/>
    <x v="306"/>
    <x v="211"/>
    <x v="33"/>
    <x v="579"/>
    <x v="128"/>
    <x v="204"/>
    <x v="4"/>
  </r>
  <r>
    <x v="0"/>
    <x v="73"/>
    <x v="73"/>
    <x v="23"/>
    <x v="23"/>
    <x v="23"/>
    <x v="16"/>
    <x v="307"/>
    <x v="212"/>
    <x v="51"/>
    <x v="173"/>
    <x v="166"/>
    <x v="602"/>
    <x v="4"/>
  </r>
  <r>
    <x v="0"/>
    <x v="73"/>
    <x v="73"/>
    <x v="9"/>
    <x v="9"/>
    <x v="9"/>
    <x v="16"/>
    <x v="307"/>
    <x v="212"/>
    <x v="48"/>
    <x v="418"/>
    <x v="49"/>
    <x v="605"/>
    <x v="4"/>
  </r>
  <r>
    <x v="0"/>
    <x v="73"/>
    <x v="73"/>
    <x v="45"/>
    <x v="45"/>
    <x v="45"/>
    <x v="18"/>
    <x v="314"/>
    <x v="355"/>
    <x v="51"/>
    <x v="173"/>
    <x v="47"/>
    <x v="8"/>
    <x v="4"/>
  </r>
  <r>
    <x v="0"/>
    <x v="73"/>
    <x v="73"/>
    <x v="16"/>
    <x v="16"/>
    <x v="16"/>
    <x v="18"/>
    <x v="314"/>
    <x v="355"/>
    <x v="100"/>
    <x v="199"/>
    <x v="184"/>
    <x v="188"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93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1"/>
  </r>
  <r>
    <x v="0"/>
    <x v="0"/>
    <x v="0"/>
    <x v="3"/>
    <x v="3"/>
    <x v="3"/>
    <x v="3"/>
    <x v="3"/>
    <x v="3"/>
    <x v="3"/>
    <x v="3"/>
    <x v="3"/>
    <x v="3"/>
    <x v="1"/>
  </r>
  <r>
    <x v="0"/>
    <x v="0"/>
    <x v="0"/>
    <x v="4"/>
    <x v="4"/>
    <x v="4"/>
    <x v="4"/>
    <x v="4"/>
    <x v="4"/>
    <x v="4"/>
    <x v="4"/>
    <x v="4"/>
    <x v="4"/>
    <x v="0"/>
  </r>
  <r>
    <x v="0"/>
    <x v="0"/>
    <x v="0"/>
    <x v="5"/>
    <x v="5"/>
    <x v="5"/>
    <x v="5"/>
    <x v="5"/>
    <x v="5"/>
    <x v="5"/>
    <x v="5"/>
    <x v="5"/>
    <x v="5"/>
    <x v="2"/>
  </r>
  <r>
    <x v="0"/>
    <x v="0"/>
    <x v="0"/>
    <x v="6"/>
    <x v="6"/>
    <x v="6"/>
    <x v="6"/>
    <x v="6"/>
    <x v="6"/>
    <x v="6"/>
    <x v="6"/>
    <x v="6"/>
    <x v="6"/>
    <x v="1"/>
  </r>
  <r>
    <x v="0"/>
    <x v="0"/>
    <x v="0"/>
    <x v="7"/>
    <x v="7"/>
    <x v="7"/>
    <x v="7"/>
    <x v="7"/>
    <x v="7"/>
    <x v="7"/>
    <x v="7"/>
    <x v="7"/>
    <x v="7"/>
    <x v="0"/>
  </r>
  <r>
    <x v="0"/>
    <x v="0"/>
    <x v="0"/>
    <x v="8"/>
    <x v="8"/>
    <x v="8"/>
    <x v="8"/>
    <x v="8"/>
    <x v="8"/>
    <x v="8"/>
    <x v="8"/>
    <x v="8"/>
    <x v="8"/>
    <x v="1"/>
  </r>
  <r>
    <x v="0"/>
    <x v="0"/>
    <x v="0"/>
    <x v="9"/>
    <x v="9"/>
    <x v="9"/>
    <x v="9"/>
    <x v="9"/>
    <x v="8"/>
    <x v="9"/>
    <x v="9"/>
    <x v="9"/>
    <x v="9"/>
    <x v="0"/>
  </r>
  <r>
    <x v="0"/>
    <x v="0"/>
    <x v="0"/>
    <x v="10"/>
    <x v="10"/>
    <x v="10"/>
    <x v="10"/>
    <x v="10"/>
    <x v="9"/>
    <x v="10"/>
    <x v="10"/>
    <x v="10"/>
    <x v="10"/>
    <x v="3"/>
  </r>
  <r>
    <x v="0"/>
    <x v="0"/>
    <x v="0"/>
    <x v="11"/>
    <x v="11"/>
    <x v="11"/>
    <x v="11"/>
    <x v="11"/>
    <x v="10"/>
    <x v="11"/>
    <x v="11"/>
    <x v="11"/>
    <x v="11"/>
    <x v="1"/>
  </r>
  <r>
    <x v="0"/>
    <x v="0"/>
    <x v="0"/>
    <x v="12"/>
    <x v="12"/>
    <x v="12"/>
    <x v="12"/>
    <x v="12"/>
    <x v="10"/>
    <x v="12"/>
    <x v="12"/>
    <x v="12"/>
    <x v="12"/>
    <x v="1"/>
  </r>
  <r>
    <x v="0"/>
    <x v="0"/>
    <x v="0"/>
    <x v="13"/>
    <x v="13"/>
    <x v="13"/>
    <x v="13"/>
    <x v="13"/>
    <x v="11"/>
    <x v="13"/>
    <x v="13"/>
    <x v="13"/>
    <x v="13"/>
    <x v="4"/>
  </r>
  <r>
    <x v="0"/>
    <x v="0"/>
    <x v="0"/>
    <x v="14"/>
    <x v="14"/>
    <x v="14"/>
    <x v="14"/>
    <x v="14"/>
    <x v="12"/>
    <x v="14"/>
    <x v="14"/>
    <x v="14"/>
    <x v="14"/>
    <x v="1"/>
  </r>
  <r>
    <x v="0"/>
    <x v="0"/>
    <x v="0"/>
    <x v="15"/>
    <x v="15"/>
    <x v="15"/>
    <x v="15"/>
    <x v="15"/>
    <x v="13"/>
    <x v="15"/>
    <x v="15"/>
    <x v="15"/>
    <x v="15"/>
    <x v="5"/>
  </r>
  <r>
    <x v="0"/>
    <x v="0"/>
    <x v="0"/>
    <x v="16"/>
    <x v="16"/>
    <x v="16"/>
    <x v="16"/>
    <x v="16"/>
    <x v="14"/>
    <x v="16"/>
    <x v="16"/>
    <x v="16"/>
    <x v="16"/>
    <x v="1"/>
  </r>
  <r>
    <x v="0"/>
    <x v="0"/>
    <x v="0"/>
    <x v="17"/>
    <x v="17"/>
    <x v="17"/>
    <x v="17"/>
    <x v="17"/>
    <x v="14"/>
    <x v="17"/>
    <x v="17"/>
    <x v="17"/>
    <x v="17"/>
    <x v="1"/>
  </r>
  <r>
    <x v="0"/>
    <x v="0"/>
    <x v="0"/>
    <x v="18"/>
    <x v="18"/>
    <x v="18"/>
    <x v="18"/>
    <x v="18"/>
    <x v="15"/>
    <x v="18"/>
    <x v="18"/>
    <x v="18"/>
    <x v="18"/>
    <x v="1"/>
  </r>
  <r>
    <x v="0"/>
    <x v="0"/>
    <x v="0"/>
    <x v="19"/>
    <x v="19"/>
    <x v="19"/>
    <x v="19"/>
    <x v="19"/>
    <x v="16"/>
    <x v="19"/>
    <x v="19"/>
    <x v="19"/>
    <x v="19"/>
    <x v="1"/>
  </r>
  <r>
    <x v="0"/>
    <x v="1"/>
    <x v="1"/>
    <x v="1"/>
    <x v="1"/>
    <x v="1"/>
    <x v="0"/>
    <x v="20"/>
    <x v="17"/>
    <x v="20"/>
    <x v="20"/>
    <x v="20"/>
    <x v="20"/>
    <x v="1"/>
  </r>
  <r>
    <x v="0"/>
    <x v="1"/>
    <x v="1"/>
    <x v="0"/>
    <x v="0"/>
    <x v="0"/>
    <x v="1"/>
    <x v="21"/>
    <x v="18"/>
    <x v="21"/>
    <x v="21"/>
    <x v="21"/>
    <x v="21"/>
    <x v="1"/>
  </r>
  <r>
    <x v="0"/>
    <x v="1"/>
    <x v="1"/>
    <x v="3"/>
    <x v="3"/>
    <x v="3"/>
    <x v="2"/>
    <x v="22"/>
    <x v="19"/>
    <x v="22"/>
    <x v="22"/>
    <x v="22"/>
    <x v="22"/>
    <x v="1"/>
  </r>
  <r>
    <x v="0"/>
    <x v="1"/>
    <x v="1"/>
    <x v="5"/>
    <x v="5"/>
    <x v="5"/>
    <x v="3"/>
    <x v="23"/>
    <x v="20"/>
    <x v="23"/>
    <x v="23"/>
    <x v="23"/>
    <x v="23"/>
    <x v="1"/>
  </r>
  <r>
    <x v="0"/>
    <x v="1"/>
    <x v="1"/>
    <x v="2"/>
    <x v="2"/>
    <x v="2"/>
    <x v="4"/>
    <x v="24"/>
    <x v="21"/>
    <x v="24"/>
    <x v="24"/>
    <x v="24"/>
    <x v="24"/>
    <x v="1"/>
  </r>
  <r>
    <x v="0"/>
    <x v="1"/>
    <x v="1"/>
    <x v="7"/>
    <x v="7"/>
    <x v="7"/>
    <x v="5"/>
    <x v="25"/>
    <x v="22"/>
    <x v="25"/>
    <x v="25"/>
    <x v="25"/>
    <x v="25"/>
    <x v="1"/>
  </r>
  <r>
    <x v="0"/>
    <x v="1"/>
    <x v="1"/>
    <x v="13"/>
    <x v="13"/>
    <x v="13"/>
    <x v="6"/>
    <x v="26"/>
    <x v="23"/>
    <x v="26"/>
    <x v="26"/>
    <x v="26"/>
    <x v="26"/>
    <x v="0"/>
  </r>
  <r>
    <x v="0"/>
    <x v="1"/>
    <x v="1"/>
    <x v="6"/>
    <x v="6"/>
    <x v="6"/>
    <x v="7"/>
    <x v="27"/>
    <x v="24"/>
    <x v="27"/>
    <x v="27"/>
    <x v="27"/>
    <x v="27"/>
    <x v="1"/>
  </r>
  <r>
    <x v="0"/>
    <x v="1"/>
    <x v="1"/>
    <x v="4"/>
    <x v="4"/>
    <x v="4"/>
    <x v="8"/>
    <x v="28"/>
    <x v="25"/>
    <x v="28"/>
    <x v="28"/>
    <x v="28"/>
    <x v="3"/>
    <x v="1"/>
  </r>
  <r>
    <x v="0"/>
    <x v="1"/>
    <x v="1"/>
    <x v="20"/>
    <x v="20"/>
    <x v="20"/>
    <x v="9"/>
    <x v="29"/>
    <x v="26"/>
    <x v="29"/>
    <x v="29"/>
    <x v="29"/>
    <x v="8"/>
    <x v="0"/>
  </r>
  <r>
    <x v="0"/>
    <x v="1"/>
    <x v="1"/>
    <x v="19"/>
    <x v="19"/>
    <x v="19"/>
    <x v="10"/>
    <x v="30"/>
    <x v="27"/>
    <x v="30"/>
    <x v="17"/>
    <x v="30"/>
    <x v="28"/>
    <x v="1"/>
  </r>
  <r>
    <x v="0"/>
    <x v="1"/>
    <x v="1"/>
    <x v="10"/>
    <x v="10"/>
    <x v="10"/>
    <x v="11"/>
    <x v="31"/>
    <x v="28"/>
    <x v="31"/>
    <x v="30"/>
    <x v="31"/>
    <x v="29"/>
    <x v="1"/>
  </r>
  <r>
    <x v="0"/>
    <x v="1"/>
    <x v="1"/>
    <x v="8"/>
    <x v="8"/>
    <x v="8"/>
    <x v="12"/>
    <x v="32"/>
    <x v="29"/>
    <x v="32"/>
    <x v="31"/>
    <x v="32"/>
    <x v="30"/>
    <x v="1"/>
  </r>
  <r>
    <x v="0"/>
    <x v="1"/>
    <x v="1"/>
    <x v="18"/>
    <x v="18"/>
    <x v="18"/>
    <x v="13"/>
    <x v="33"/>
    <x v="30"/>
    <x v="17"/>
    <x v="32"/>
    <x v="33"/>
    <x v="31"/>
    <x v="1"/>
  </r>
  <r>
    <x v="0"/>
    <x v="1"/>
    <x v="1"/>
    <x v="9"/>
    <x v="9"/>
    <x v="9"/>
    <x v="14"/>
    <x v="34"/>
    <x v="31"/>
    <x v="33"/>
    <x v="33"/>
    <x v="34"/>
    <x v="32"/>
    <x v="1"/>
  </r>
  <r>
    <x v="0"/>
    <x v="1"/>
    <x v="1"/>
    <x v="21"/>
    <x v="21"/>
    <x v="21"/>
    <x v="15"/>
    <x v="35"/>
    <x v="32"/>
    <x v="34"/>
    <x v="34"/>
    <x v="35"/>
    <x v="33"/>
    <x v="1"/>
  </r>
  <r>
    <x v="0"/>
    <x v="1"/>
    <x v="1"/>
    <x v="16"/>
    <x v="16"/>
    <x v="16"/>
    <x v="16"/>
    <x v="36"/>
    <x v="33"/>
    <x v="35"/>
    <x v="35"/>
    <x v="36"/>
    <x v="34"/>
    <x v="1"/>
  </r>
  <r>
    <x v="0"/>
    <x v="1"/>
    <x v="1"/>
    <x v="22"/>
    <x v="22"/>
    <x v="22"/>
    <x v="17"/>
    <x v="37"/>
    <x v="34"/>
    <x v="36"/>
    <x v="36"/>
    <x v="37"/>
    <x v="35"/>
    <x v="1"/>
  </r>
  <r>
    <x v="0"/>
    <x v="1"/>
    <x v="1"/>
    <x v="12"/>
    <x v="12"/>
    <x v="12"/>
    <x v="18"/>
    <x v="38"/>
    <x v="35"/>
    <x v="37"/>
    <x v="37"/>
    <x v="38"/>
    <x v="36"/>
    <x v="1"/>
  </r>
  <r>
    <x v="0"/>
    <x v="1"/>
    <x v="1"/>
    <x v="15"/>
    <x v="15"/>
    <x v="15"/>
    <x v="19"/>
    <x v="39"/>
    <x v="36"/>
    <x v="38"/>
    <x v="38"/>
    <x v="39"/>
    <x v="37"/>
    <x v="0"/>
  </r>
  <r>
    <x v="0"/>
    <x v="2"/>
    <x v="2"/>
    <x v="1"/>
    <x v="1"/>
    <x v="1"/>
    <x v="0"/>
    <x v="40"/>
    <x v="37"/>
    <x v="39"/>
    <x v="20"/>
    <x v="40"/>
    <x v="38"/>
    <x v="1"/>
  </r>
  <r>
    <x v="0"/>
    <x v="2"/>
    <x v="2"/>
    <x v="0"/>
    <x v="0"/>
    <x v="0"/>
    <x v="1"/>
    <x v="41"/>
    <x v="38"/>
    <x v="40"/>
    <x v="39"/>
    <x v="41"/>
    <x v="39"/>
    <x v="1"/>
  </r>
  <r>
    <x v="0"/>
    <x v="2"/>
    <x v="2"/>
    <x v="8"/>
    <x v="8"/>
    <x v="8"/>
    <x v="2"/>
    <x v="42"/>
    <x v="39"/>
    <x v="41"/>
    <x v="40"/>
    <x v="42"/>
    <x v="40"/>
    <x v="1"/>
  </r>
  <r>
    <x v="0"/>
    <x v="2"/>
    <x v="2"/>
    <x v="9"/>
    <x v="9"/>
    <x v="9"/>
    <x v="3"/>
    <x v="43"/>
    <x v="40"/>
    <x v="42"/>
    <x v="9"/>
    <x v="43"/>
    <x v="41"/>
    <x v="1"/>
  </r>
  <r>
    <x v="0"/>
    <x v="2"/>
    <x v="2"/>
    <x v="2"/>
    <x v="2"/>
    <x v="2"/>
    <x v="4"/>
    <x v="44"/>
    <x v="41"/>
    <x v="43"/>
    <x v="41"/>
    <x v="44"/>
    <x v="42"/>
    <x v="1"/>
  </r>
  <r>
    <x v="0"/>
    <x v="2"/>
    <x v="2"/>
    <x v="11"/>
    <x v="11"/>
    <x v="11"/>
    <x v="5"/>
    <x v="45"/>
    <x v="23"/>
    <x v="44"/>
    <x v="42"/>
    <x v="45"/>
    <x v="8"/>
    <x v="1"/>
  </r>
  <r>
    <x v="0"/>
    <x v="2"/>
    <x v="2"/>
    <x v="12"/>
    <x v="12"/>
    <x v="12"/>
    <x v="6"/>
    <x v="46"/>
    <x v="42"/>
    <x v="45"/>
    <x v="43"/>
    <x v="45"/>
    <x v="8"/>
    <x v="1"/>
  </r>
  <r>
    <x v="0"/>
    <x v="2"/>
    <x v="2"/>
    <x v="21"/>
    <x v="21"/>
    <x v="21"/>
    <x v="6"/>
    <x v="46"/>
    <x v="42"/>
    <x v="46"/>
    <x v="44"/>
    <x v="46"/>
    <x v="43"/>
    <x v="1"/>
  </r>
  <r>
    <x v="0"/>
    <x v="2"/>
    <x v="2"/>
    <x v="7"/>
    <x v="7"/>
    <x v="7"/>
    <x v="8"/>
    <x v="47"/>
    <x v="43"/>
    <x v="46"/>
    <x v="44"/>
    <x v="40"/>
    <x v="38"/>
    <x v="1"/>
  </r>
  <r>
    <x v="0"/>
    <x v="2"/>
    <x v="2"/>
    <x v="5"/>
    <x v="5"/>
    <x v="5"/>
    <x v="9"/>
    <x v="48"/>
    <x v="44"/>
    <x v="39"/>
    <x v="20"/>
    <x v="47"/>
    <x v="44"/>
    <x v="1"/>
  </r>
  <r>
    <x v="0"/>
    <x v="2"/>
    <x v="2"/>
    <x v="23"/>
    <x v="23"/>
    <x v="23"/>
    <x v="10"/>
    <x v="49"/>
    <x v="45"/>
    <x v="46"/>
    <x v="44"/>
    <x v="48"/>
    <x v="45"/>
    <x v="1"/>
  </r>
  <r>
    <x v="0"/>
    <x v="2"/>
    <x v="2"/>
    <x v="3"/>
    <x v="3"/>
    <x v="3"/>
    <x v="10"/>
    <x v="49"/>
    <x v="45"/>
    <x v="47"/>
    <x v="45"/>
    <x v="44"/>
    <x v="42"/>
    <x v="1"/>
  </r>
  <r>
    <x v="0"/>
    <x v="2"/>
    <x v="2"/>
    <x v="16"/>
    <x v="16"/>
    <x v="16"/>
    <x v="12"/>
    <x v="50"/>
    <x v="46"/>
    <x v="42"/>
    <x v="9"/>
    <x v="49"/>
    <x v="46"/>
    <x v="1"/>
  </r>
  <r>
    <x v="0"/>
    <x v="2"/>
    <x v="2"/>
    <x v="24"/>
    <x v="24"/>
    <x v="24"/>
    <x v="13"/>
    <x v="51"/>
    <x v="47"/>
    <x v="48"/>
    <x v="46"/>
    <x v="50"/>
    <x v="47"/>
    <x v="1"/>
  </r>
  <r>
    <x v="0"/>
    <x v="2"/>
    <x v="2"/>
    <x v="22"/>
    <x v="22"/>
    <x v="22"/>
    <x v="13"/>
    <x v="51"/>
    <x v="47"/>
    <x v="49"/>
    <x v="47"/>
    <x v="51"/>
    <x v="48"/>
    <x v="1"/>
  </r>
  <r>
    <x v="0"/>
    <x v="2"/>
    <x v="2"/>
    <x v="14"/>
    <x v="14"/>
    <x v="14"/>
    <x v="13"/>
    <x v="51"/>
    <x v="47"/>
    <x v="50"/>
    <x v="48"/>
    <x v="52"/>
    <x v="49"/>
    <x v="1"/>
  </r>
  <r>
    <x v="0"/>
    <x v="2"/>
    <x v="2"/>
    <x v="25"/>
    <x v="25"/>
    <x v="25"/>
    <x v="16"/>
    <x v="52"/>
    <x v="29"/>
    <x v="41"/>
    <x v="40"/>
    <x v="49"/>
    <x v="46"/>
    <x v="1"/>
  </r>
  <r>
    <x v="0"/>
    <x v="2"/>
    <x v="2"/>
    <x v="19"/>
    <x v="19"/>
    <x v="19"/>
    <x v="17"/>
    <x v="53"/>
    <x v="48"/>
    <x v="51"/>
    <x v="49"/>
    <x v="49"/>
    <x v="46"/>
    <x v="1"/>
  </r>
  <r>
    <x v="0"/>
    <x v="2"/>
    <x v="2"/>
    <x v="10"/>
    <x v="10"/>
    <x v="10"/>
    <x v="18"/>
    <x v="54"/>
    <x v="11"/>
    <x v="50"/>
    <x v="48"/>
    <x v="41"/>
    <x v="39"/>
    <x v="1"/>
  </r>
  <r>
    <x v="0"/>
    <x v="2"/>
    <x v="2"/>
    <x v="17"/>
    <x v="17"/>
    <x v="17"/>
    <x v="19"/>
    <x v="55"/>
    <x v="49"/>
    <x v="41"/>
    <x v="40"/>
    <x v="53"/>
    <x v="50"/>
    <x v="1"/>
  </r>
  <r>
    <x v="0"/>
    <x v="2"/>
    <x v="2"/>
    <x v="13"/>
    <x v="13"/>
    <x v="13"/>
    <x v="19"/>
    <x v="55"/>
    <x v="49"/>
    <x v="51"/>
    <x v="49"/>
    <x v="50"/>
    <x v="47"/>
    <x v="1"/>
  </r>
  <r>
    <x v="0"/>
    <x v="3"/>
    <x v="3"/>
    <x v="1"/>
    <x v="1"/>
    <x v="1"/>
    <x v="0"/>
    <x v="56"/>
    <x v="50"/>
    <x v="52"/>
    <x v="50"/>
    <x v="54"/>
    <x v="51"/>
    <x v="1"/>
  </r>
  <r>
    <x v="0"/>
    <x v="3"/>
    <x v="3"/>
    <x v="0"/>
    <x v="0"/>
    <x v="0"/>
    <x v="1"/>
    <x v="57"/>
    <x v="51"/>
    <x v="53"/>
    <x v="51"/>
    <x v="40"/>
    <x v="52"/>
    <x v="1"/>
  </r>
  <r>
    <x v="0"/>
    <x v="3"/>
    <x v="3"/>
    <x v="3"/>
    <x v="3"/>
    <x v="3"/>
    <x v="2"/>
    <x v="58"/>
    <x v="52"/>
    <x v="54"/>
    <x v="52"/>
    <x v="41"/>
    <x v="53"/>
    <x v="1"/>
  </r>
  <r>
    <x v="0"/>
    <x v="3"/>
    <x v="3"/>
    <x v="2"/>
    <x v="2"/>
    <x v="2"/>
    <x v="3"/>
    <x v="59"/>
    <x v="53"/>
    <x v="55"/>
    <x v="53"/>
    <x v="47"/>
    <x v="54"/>
    <x v="1"/>
  </r>
  <r>
    <x v="0"/>
    <x v="3"/>
    <x v="3"/>
    <x v="5"/>
    <x v="5"/>
    <x v="5"/>
    <x v="4"/>
    <x v="60"/>
    <x v="2"/>
    <x v="56"/>
    <x v="54"/>
    <x v="50"/>
    <x v="55"/>
    <x v="1"/>
  </r>
  <r>
    <x v="0"/>
    <x v="3"/>
    <x v="3"/>
    <x v="7"/>
    <x v="7"/>
    <x v="7"/>
    <x v="5"/>
    <x v="61"/>
    <x v="54"/>
    <x v="57"/>
    <x v="55"/>
    <x v="55"/>
    <x v="56"/>
    <x v="1"/>
  </r>
  <r>
    <x v="0"/>
    <x v="3"/>
    <x v="3"/>
    <x v="13"/>
    <x v="13"/>
    <x v="13"/>
    <x v="6"/>
    <x v="62"/>
    <x v="41"/>
    <x v="58"/>
    <x v="56"/>
    <x v="56"/>
    <x v="57"/>
    <x v="1"/>
  </r>
  <r>
    <x v="0"/>
    <x v="3"/>
    <x v="3"/>
    <x v="4"/>
    <x v="4"/>
    <x v="4"/>
    <x v="7"/>
    <x v="63"/>
    <x v="55"/>
    <x v="59"/>
    <x v="57"/>
    <x v="47"/>
    <x v="54"/>
    <x v="1"/>
  </r>
  <r>
    <x v="0"/>
    <x v="3"/>
    <x v="3"/>
    <x v="6"/>
    <x v="6"/>
    <x v="6"/>
    <x v="8"/>
    <x v="64"/>
    <x v="56"/>
    <x v="60"/>
    <x v="58"/>
    <x v="57"/>
    <x v="58"/>
    <x v="1"/>
  </r>
  <r>
    <x v="0"/>
    <x v="3"/>
    <x v="3"/>
    <x v="19"/>
    <x v="19"/>
    <x v="19"/>
    <x v="9"/>
    <x v="65"/>
    <x v="57"/>
    <x v="46"/>
    <x v="59"/>
    <x v="58"/>
    <x v="59"/>
    <x v="1"/>
  </r>
  <r>
    <x v="0"/>
    <x v="3"/>
    <x v="3"/>
    <x v="10"/>
    <x v="10"/>
    <x v="10"/>
    <x v="10"/>
    <x v="40"/>
    <x v="58"/>
    <x v="61"/>
    <x v="60"/>
    <x v="49"/>
    <x v="60"/>
    <x v="1"/>
  </r>
  <r>
    <x v="0"/>
    <x v="3"/>
    <x v="3"/>
    <x v="26"/>
    <x v="26"/>
    <x v="26"/>
    <x v="11"/>
    <x v="41"/>
    <x v="59"/>
    <x v="42"/>
    <x v="61"/>
    <x v="59"/>
    <x v="61"/>
    <x v="1"/>
  </r>
  <r>
    <x v="0"/>
    <x v="3"/>
    <x v="3"/>
    <x v="20"/>
    <x v="20"/>
    <x v="20"/>
    <x v="11"/>
    <x v="41"/>
    <x v="59"/>
    <x v="62"/>
    <x v="62"/>
    <x v="42"/>
    <x v="62"/>
    <x v="1"/>
  </r>
  <r>
    <x v="0"/>
    <x v="3"/>
    <x v="3"/>
    <x v="8"/>
    <x v="8"/>
    <x v="8"/>
    <x v="13"/>
    <x v="66"/>
    <x v="9"/>
    <x v="46"/>
    <x v="59"/>
    <x v="60"/>
    <x v="9"/>
    <x v="1"/>
  </r>
  <r>
    <x v="0"/>
    <x v="3"/>
    <x v="3"/>
    <x v="18"/>
    <x v="18"/>
    <x v="18"/>
    <x v="13"/>
    <x v="66"/>
    <x v="9"/>
    <x v="49"/>
    <x v="63"/>
    <x v="45"/>
    <x v="63"/>
    <x v="1"/>
  </r>
  <r>
    <x v="0"/>
    <x v="3"/>
    <x v="3"/>
    <x v="12"/>
    <x v="12"/>
    <x v="12"/>
    <x v="15"/>
    <x v="67"/>
    <x v="10"/>
    <x v="44"/>
    <x v="64"/>
    <x v="43"/>
    <x v="64"/>
    <x v="1"/>
  </r>
  <r>
    <x v="0"/>
    <x v="3"/>
    <x v="3"/>
    <x v="21"/>
    <x v="21"/>
    <x v="21"/>
    <x v="15"/>
    <x v="67"/>
    <x v="10"/>
    <x v="42"/>
    <x v="61"/>
    <x v="61"/>
    <x v="46"/>
    <x v="1"/>
  </r>
  <r>
    <x v="0"/>
    <x v="3"/>
    <x v="3"/>
    <x v="16"/>
    <x v="16"/>
    <x v="16"/>
    <x v="17"/>
    <x v="68"/>
    <x v="60"/>
    <x v="46"/>
    <x v="59"/>
    <x v="61"/>
    <x v="46"/>
    <x v="1"/>
  </r>
  <r>
    <x v="0"/>
    <x v="3"/>
    <x v="3"/>
    <x v="22"/>
    <x v="22"/>
    <x v="22"/>
    <x v="18"/>
    <x v="42"/>
    <x v="13"/>
    <x v="63"/>
    <x v="38"/>
    <x v="62"/>
    <x v="65"/>
    <x v="1"/>
  </r>
  <r>
    <x v="0"/>
    <x v="3"/>
    <x v="3"/>
    <x v="27"/>
    <x v="27"/>
    <x v="27"/>
    <x v="19"/>
    <x v="69"/>
    <x v="34"/>
    <x v="41"/>
    <x v="13"/>
    <x v="63"/>
    <x v="66"/>
    <x v="1"/>
  </r>
  <r>
    <x v="0"/>
    <x v="3"/>
    <x v="3"/>
    <x v="28"/>
    <x v="28"/>
    <x v="28"/>
    <x v="19"/>
    <x v="69"/>
    <x v="34"/>
    <x v="62"/>
    <x v="62"/>
    <x v="64"/>
    <x v="67"/>
    <x v="1"/>
  </r>
  <r>
    <x v="0"/>
    <x v="4"/>
    <x v="4"/>
    <x v="1"/>
    <x v="1"/>
    <x v="1"/>
    <x v="0"/>
    <x v="70"/>
    <x v="61"/>
    <x v="64"/>
    <x v="65"/>
    <x v="65"/>
    <x v="68"/>
    <x v="1"/>
  </r>
  <r>
    <x v="0"/>
    <x v="4"/>
    <x v="4"/>
    <x v="0"/>
    <x v="0"/>
    <x v="0"/>
    <x v="1"/>
    <x v="56"/>
    <x v="62"/>
    <x v="65"/>
    <x v="66"/>
    <x v="43"/>
    <x v="69"/>
    <x v="1"/>
  </r>
  <r>
    <x v="0"/>
    <x v="4"/>
    <x v="4"/>
    <x v="7"/>
    <x v="7"/>
    <x v="7"/>
    <x v="2"/>
    <x v="71"/>
    <x v="63"/>
    <x v="66"/>
    <x v="67"/>
    <x v="28"/>
    <x v="70"/>
    <x v="1"/>
  </r>
  <r>
    <x v="0"/>
    <x v="4"/>
    <x v="4"/>
    <x v="3"/>
    <x v="3"/>
    <x v="3"/>
    <x v="2"/>
    <x v="71"/>
    <x v="63"/>
    <x v="67"/>
    <x v="68"/>
    <x v="66"/>
    <x v="3"/>
    <x v="1"/>
  </r>
  <r>
    <x v="0"/>
    <x v="4"/>
    <x v="4"/>
    <x v="5"/>
    <x v="5"/>
    <x v="5"/>
    <x v="4"/>
    <x v="72"/>
    <x v="64"/>
    <x v="68"/>
    <x v="69"/>
    <x v="59"/>
    <x v="71"/>
    <x v="1"/>
  </r>
  <r>
    <x v="0"/>
    <x v="4"/>
    <x v="4"/>
    <x v="6"/>
    <x v="6"/>
    <x v="6"/>
    <x v="5"/>
    <x v="73"/>
    <x v="19"/>
    <x v="69"/>
    <x v="70"/>
    <x v="60"/>
    <x v="72"/>
    <x v="1"/>
  </r>
  <r>
    <x v="0"/>
    <x v="4"/>
    <x v="4"/>
    <x v="20"/>
    <x v="20"/>
    <x v="20"/>
    <x v="6"/>
    <x v="74"/>
    <x v="65"/>
    <x v="62"/>
    <x v="71"/>
    <x v="67"/>
    <x v="73"/>
    <x v="0"/>
  </r>
  <r>
    <x v="0"/>
    <x v="4"/>
    <x v="4"/>
    <x v="4"/>
    <x v="4"/>
    <x v="4"/>
    <x v="7"/>
    <x v="58"/>
    <x v="41"/>
    <x v="25"/>
    <x v="72"/>
    <x v="40"/>
    <x v="74"/>
    <x v="1"/>
  </r>
  <r>
    <x v="0"/>
    <x v="4"/>
    <x v="4"/>
    <x v="13"/>
    <x v="13"/>
    <x v="13"/>
    <x v="8"/>
    <x v="59"/>
    <x v="66"/>
    <x v="48"/>
    <x v="73"/>
    <x v="68"/>
    <x v="75"/>
    <x v="1"/>
  </r>
  <r>
    <x v="0"/>
    <x v="4"/>
    <x v="4"/>
    <x v="10"/>
    <x v="10"/>
    <x v="10"/>
    <x v="9"/>
    <x v="75"/>
    <x v="67"/>
    <x v="40"/>
    <x v="74"/>
    <x v="69"/>
    <x v="76"/>
    <x v="1"/>
  </r>
  <r>
    <x v="0"/>
    <x v="4"/>
    <x v="4"/>
    <x v="29"/>
    <x v="29"/>
    <x v="29"/>
    <x v="10"/>
    <x v="61"/>
    <x v="68"/>
    <x v="70"/>
    <x v="75"/>
    <x v="52"/>
    <x v="77"/>
    <x v="1"/>
  </r>
  <r>
    <x v="0"/>
    <x v="4"/>
    <x v="4"/>
    <x v="19"/>
    <x v="19"/>
    <x v="19"/>
    <x v="11"/>
    <x v="76"/>
    <x v="69"/>
    <x v="46"/>
    <x v="76"/>
    <x v="70"/>
    <x v="78"/>
    <x v="1"/>
  </r>
  <r>
    <x v="0"/>
    <x v="4"/>
    <x v="4"/>
    <x v="30"/>
    <x v="30"/>
    <x v="30"/>
    <x v="12"/>
    <x v="62"/>
    <x v="57"/>
    <x v="71"/>
    <x v="77"/>
    <x v="71"/>
    <x v="62"/>
    <x v="1"/>
  </r>
  <r>
    <x v="0"/>
    <x v="4"/>
    <x v="4"/>
    <x v="2"/>
    <x v="2"/>
    <x v="2"/>
    <x v="13"/>
    <x v="77"/>
    <x v="58"/>
    <x v="59"/>
    <x v="78"/>
    <x v="72"/>
    <x v="79"/>
    <x v="1"/>
  </r>
  <r>
    <x v="0"/>
    <x v="4"/>
    <x v="4"/>
    <x v="15"/>
    <x v="15"/>
    <x v="15"/>
    <x v="14"/>
    <x v="78"/>
    <x v="70"/>
    <x v="57"/>
    <x v="79"/>
    <x v="73"/>
    <x v="80"/>
    <x v="1"/>
  </r>
  <r>
    <x v="0"/>
    <x v="4"/>
    <x v="4"/>
    <x v="31"/>
    <x v="31"/>
    <x v="31"/>
    <x v="15"/>
    <x v="79"/>
    <x v="28"/>
    <x v="42"/>
    <x v="80"/>
    <x v="74"/>
    <x v="17"/>
    <x v="1"/>
  </r>
  <r>
    <x v="0"/>
    <x v="4"/>
    <x v="4"/>
    <x v="28"/>
    <x v="28"/>
    <x v="28"/>
    <x v="16"/>
    <x v="80"/>
    <x v="30"/>
    <x v="71"/>
    <x v="77"/>
    <x v="75"/>
    <x v="81"/>
    <x v="1"/>
  </r>
  <r>
    <x v="0"/>
    <x v="4"/>
    <x v="4"/>
    <x v="32"/>
    <x v="32"/>
    <x v="32"/>
    <x v="17"/>
    <x v="81"/>
    <x v="13"/>
    <x v="48"/>
    <x v="73"/>
    <x v="76"/>
    <x v="82"/>
    <x v="1"/>
  </r>
  <r>
    <x v="0"/>
    <x v="4"/>
    <x v="4"/>
    <x v="33"/>
    <x v="33"/>
    <x v="33"/>
    <x v="18"/>
    <x v="82"/>
    <x v="16"/>
    <x v="72"/>
    <x v="81"/>
    <x v="77"/>
    <x v="83"/>
    <x v="1"/>
  </r>
  <r>
    <x v="0"/>
    <x v="4"/>
    <x v="4"/>
    <x v="34"/>
    <x v="34"/>
    <x v="34"/>
    <x v="19"/>
    <x v="83"/>
    <x v="71"/>
    <x v="73"/>
    <x v="82"/>
    <x v="72"/>
    <x v="79"/>
    <x v="1"/>
  </r>
  <r>
    <x v="0"/>
    <x v="4"/>
    <x v="4"/>
    <x v="35"/>
    <x v="35"/>
    <x v="35"/>
    <x v="19"/>
    <x v="83"/>
    <x v="71"/>
    <x v="72"/>
    <x v="81"/>
    <x v="78"/>
    <x v="84"/>
    <x v="1"/>
  </r>
  <r>
    <x v="0"/>
    <x v="5"/>
    <x v="5"/>
    <x v="1"/>
    <x v="1"/>
    <x v="1"/>
    <x v="0"/>
    <x v="84"/>
    <x v="72"/>
    <x v="34"/>
    <x v="83"/>
    <x v="79"/>
    <x v="85"/>
    <x v="1"/>
  </r>
  <r>
    <x v="0"/>
    <x v="5"/>
    <x v="5"/>
    <x v="0"/>
    <x v="0"/>
    <x v="0"/>
    <x v="1"/>
    <x v="72"/>
    <x v="73"/>
    <x v="74"/>
    <x v="84"/>
    <x v="77"/>
    <x v="14"/>
    <x v="1"/>
  </r>
  <r>
    <x v="0"/>
    <x v="5"/>
    <x v="5"/>
    <x v="2"/>
    <x v="2"/>
    <x v="2"/>
    <x v="2"/>
    <x v="59"/>
    <x v="74"/>
    <x v="75"/>
    <x v="85"/>
    <x v="41"/>
    <x v="3"/>
    <x v="1"/>
  </r>
  <r>
    <x v="0"/>
    <x v="5"/>
    <x v="5"/>
    <x v="5"/>
    <x v="5"/>
    <x v="5"/>
    <x v="3"/>
    <x v="75"/>
    <x v="75"/>
    <x v="76"/>
    <x v="2"/>
    <x v="52"/>
    <x v="86"/>
    <x v="1"/>
  </r>
  <r>
    <x v="0"/>
    <x v="5"/>
    <x v="5"/>
    <x v="8"/>
    <x v="8"/>
    <x v="8"/>
    <x v="4"/>
    <x v="85"/>
    <x v="76"/>
    <x v="50"/>
    <x v="86"/>
    <x v="70"/>
    <x v="87"/>
    <x v="1"/>
  </r>
  <r>
    <x v="0"/>
    <x v="5"/>
    <x v="5"/>
    <x v="3"/>
    <x v="3"/>
    <x v="3"/>
    <x v="5"/>
    <x v="61"/>
    <x v="77"/>
    <x v="56"/>
    <x v="87"/>
    <x v="57"/>
    <x v="88"/>
    <x v="1"/>
  </r>
  <r>
    <x v="0"/>
    <x v="5"/>
    <x v="5"/>
    <x v="9"/>
    <x v="9"/>
    <x v="9"/>
    <x v="6"/>
    <x v="62"/>
    <x v="5"/>
    <x v="58"/>
    <x v="88"/>
    <x v="55"/>
    <x v="89"/>
    <x v="1"/>
  </r>
  <r>
    <x v="0"/>
    <x v="5"/>
    <x v="5"/>
    <x v="20"/>
    <x v="20"/>
    <x v="20"/>
    <x v="7"/>
    <x v="77"/>
    <x v="78"/>
    <x v="63"/>
    <x v="89"/>
    <x v="80"/>
    <x v="90"/>
    <x v="1"/>
  </r>
  <r>
    <x v="0"/>
    <x v="5"/>
    <x v="5"/>
    <x v="13"/>
    <x v="13"/>
    <x v="13"/>
    <x v="8"/>
    <x v="86"/>
    <x v="68"/>
    <x v="46"/>
    <x v="26"/>
    <x v="73"/>
    <x v="7"/>
    <x v="1"/>
  </r>
  <r>
    <x v="0"/>
    <x v="5"/>
    <x v="5"/>
    <x v="4"/>
    <x v="4"/>
    <x v="4"/>
    <x v="8"/>
    <x v="86"/>
    <x v="68"/>
    <x v="77"/>
    <x v="90"/>
    <x v="51"/>
    <x v="91"/>
    <x v="1"/>
  </r>
  <r>
    <x v="0"/>
    <x v="5"/>
    <x v="5"/>
    <x v="22"/>
    <x v="22"/>
    <x v="22"/>
    <x v="10"/>
    <x v="87"/>
    <x v="26"/>
    <x v="35"/>
    <x v="91"/>
    <x v="48"/>
    <x v="92"/>
    <x v="1"/>
  </r>
  <r>
    <x v="0"/>
    <x v="5"/>
    <x v="5"/>
    <x v="17"/>
    <x v="17"/>
    <x v="17"/>
    <x v="11"/>
    <x v="65"/>
    <x v="79"/>
    <x v="41"/>
    <x v="92"/>
    <x v="81"/>
    <x v="93"/>
    <x v="1"/>
  </r>
  <r>
    <x v="0"/>
    <x v="5"/>
    <x v="5"/>
    <x v="18"/>
    <x v="18"/>
    <x v="18"/>
    <x v="12"/>
    <x v="83"/>
    <x v="80"/>
    <x v="78"/>
    <x v="93"/>
    <x v="66"/>
    <x v="94"/>
    <x v="1"/>
  </r>
  <r>
    <x v="0"/>
    <x v="5"/>
    <x v="5"/>
    <x v="12"/>
    <x v="12"/>
    <x v="12"/>
    <x v="13"/>
    <x v="88"/>
    <x v="29"/>
    <x v="71"/>
    <x v="94"/>
    <x v="82"/>
    <x v="50"/>
    <x v="1"/>
  </r>
  <r>
    <x v="0"/>
    <x v="5"/>
    <x v="5"/>
    <x v="10"/>
    <x v="10"/>
    <x v="10"/>
    <x v="13"/>
    <x v="88"/>
    <x v="29"/>
    <x v="30"/>
    <x v="95"/>
    <x v="50"/>
    <x v="95"/>
    <x v="1"/>
  </r>
  <r>
    <x v="0"/>
    <x v="5"/>
    <x v="5"/>
    <x v="21"/>
    <x v="21"/>
    <x v="21"/>
    <x v="15"/>
    <x v="66"/>
    <x v="81"/>
    <x v="42"/>
    <x v="96"/>
    <x v="83"/>
    <x v="9"/>
    <x v="1"/>
  </r>
  <r>
    <x v="0"/>
    <x v="5"/>
    <x v="5"/>
    <x v="7"/>
    <x v="7"/>
    <x v="7"/>
    <x v="15"/>
    <x v="66"/>
    <x v="81"/>
    <x v="46"/>
    <x v="26"/>
    <x v="60"/>
    <x v="96"/>
    <x v="1"/>
  </r>
  <r>
    <x v="0"/>
    <x v="5"/>
    <x v="5"/>
    <x v="36"/>
    <x v="36"/>
    <x v="36"/>
    <x v="17"/>
    <x v="89"/>
    <x v="82"/>
    <x v="44"/>
    <x v="97"/>
    <x v="82"/>
    <x v="50"/>
    <x v="1"/>
  </r>
  <r>
    <x v="0"/>
    <x v="5"/>
    <x v="5"/>
    <x v="6"/>
    <x v="6"/>
    <x v="6"/>
    <x v="17"/>
    <x v="89"/>
    <x v="82"/>
    <x v="79"/>
    <x v="98"/>
    <x v="47"/>
    <x v="79"/>
    <x v="1"/>
  </r>
  <r>
    <x v="0"/>
    <x v="5"/>
    <x v="5"/>
    <x v="23"/>
    <x v="23"/>
    <x v="23"/>
    <x v="19"/>
    <x v="42"/>
    <x v="83"/>
    <x v="58"/>
    <x v="88"/>
    <x v="84"/>
    <x v="97"/>
    <x v="1"/>
  </r>
  <r>
    <x v="0"/>
    <x v="5"/>
    <x v="5"/>
    <x v="35"/>
    <x v="35"/>
    <x v="35"/>
    <x v="19"/>
    <x v="42"/>
    <x v="83"/>
    <x v="43"/>
    <x v="99"/>
    <x v="51"/>
    <x v="91"/>
    <x v="1"/>
  </r>
  <r>
    <x v="0"/>
    <x v="6"/>
    <x v="6"/>
    <x v="1"/>
    <x v="1"/>
    <x v="1"/>
    <x v="0"/>
    <x v="73"/>
    <x v="84"/>
    <x v="43"/>
    <x v="100"/>
    <x v="85"/>
    <x v="98"/>
    <x v="1"/>
  </r>
  <r>
    <x v="0"/>
    <x v="6"/>
    <x v="6"/>
    <x v="0"/>
    <x v="0"/>
    <x v="0"/>
    <x v="1"/>
    <x v="90"/>
    <x v="85"/>
    <x v="37"/>
    <x v="101"/>
    <x v="50"/>
    <x v="52"/>
    <x v="1"/>
  </r>
  <r>
    <x v="0"/>
    <x v="6"/>
    <x v="6"/>
    <x v="6"/>
    <x v="6"/>
    <x v="6"/>
    <x v="2"/>
    <x v="91"/>
    <x v="86"/>
    <x v="34"/>
    <x v="102"/>
    <x v="77"/>
    <x v="99"/>
    <x v="1"/>
  </r>
  <r>
    <x v="0"/>
    <x v="6"/>
    <x v="6"/>
    <x v="2"/>
    <x v="2"/>
    <x v="2"/>
    <x v="2"/>
    <x v="91"/>
    <x v="86"/>
    <x v="77"/>
    <x v="103"/>
    <x v="86"/>
    <x v="100"/>
    <x v="1"/>
  </r>
  <r>
    <x v="0"/>
    <x v="6"/>
    <x v="6"/>
    <x v="3"/>
    <x v="3"/>
    <x v="3"/>
    <x v="4"/>
    <x v="81"/>
    <x v="87"/>
    <x v="33"/>
    <x v="104"/>
    <x v="51"/>
    <x v="101"/>
    <x v="1"/>
  </r>
  <r>
    <x v="0"/>
    <x v="6"/>
    <x v="6"/>
    <x v="5"/>
    <x v="5"/>
    <x v="5"/>
    <x v="5"/>
    <x v="82"/>
    <x v="65"/>
    <x v="47"/>
    <x v="105"/>
    <x v="87"/>
    <x v="102"/>
    <x v="1"/>
  </r>
  <r>
    <x v="0"/>
    <x v="6"/>
    <x v="6"/>
    <x v="20"/>
    <x v="20"/>
    <x v="20"/>
    <x v="6"/>
    <x v="67"/>
    <x v="67"/>
    <x v="58"/>
    <x v="106"/>
    <x v="88"/>
    <x v="103"/>
    <x v="1"/>
  </r>
  <r>
    <x v="0"/>
    <x v="6"/>
    <x v="6"/>
    <x v="18"/>
    <x v="18"/>
    <x v="18"/>
    <x v="7"/>
    <x v="68"/>
    <x v="88"/>
    <x v="30"/>
    <x v="107"/>
    <x v="78"/>
    <x v="23"/>
    <x v="1"/>
  </r>
  <r>
    <x v="0"/>
    <x v="6"/>
    <x v="6"/>
    <x v="13"/>
    <x v="13"/>
    <x v="13"/>
    <x v="8"/>
    <x v="44"/>
    <x v="89"/>
    <x v="41"/>
    <x v="108"/>
    <x v="43"/>
    <x v="104"/>
    <x v="1"/>
  </r>
  <r>
    <x v="0"/>
    <x v="6"/>
    <x v="6"/>
    <x v="10"/>
    <x v="10"/>
    <x v="10"/>
    <x v="9"/>
    <x v="45"/>
    <x v="90"/>
    <x v="80"/>
    <x v="109"/>
    <x v="78"/>
    <x v="23"/>
    <x v="1"/>
  </r>
  <r>
    <x v="0"/>
    <x v="6"/>
    <x v="6"/>
    <x v="19"/>
    <x v="19"/>
    <x v="19"/>
    <x v="10"/>
    <x v="46"/>
    <x v="91"/>
    <x v="42"/>
    <x v="110"/>
    <x v="40"/>
    <x v="105"/>
    <x v="1"/>
  </r>
  <r>
    <x v="0"/>
    <x v="6"/>
    <x v="6"/>
    <x v="36"/>
    <x v="36"/>
    <x v="36"/>
    <x v="10"/>
    <x v="46"/>
    <x v="91"/>
    <x v="46"/>
    <x v="61"/>
    <x v="46"/>
    <x v="106"/>
    <x v="1"/>
  </r>
  <r>
    <x v="0"/>
    <x v="6"/>
    <x v="6"/>
    <x v="37"/>
    <x v="37"/>
    <x v="37"/>
    <x v="10"/>
    <x v="46"/>
    <x v="91"/>
    <x v="61"/>
    <x v="111"/>
    <x v="89"/>
    <x v="107"/>
    <x v="1"/>
  </r>
  <r>
    <x v="0"/>
    <x v="6"/>
    <x v="6"/>
    <x v="38"/>
    <x v="38"/>
    <x v="38"/>
    <x v="13"/>
    <x v="47"/>
    <x v="92"/>
    <x v="46"/>
    <x v="61"/>
    <x v="40"/>
    <x v="105"/>
    <x v="1"/>
  </r>
  <r>
    <x v="0"/>
    <x v="6"/>
    <x v="6"/>
    <x v="7"/>
    <x v="7"/>
    <x v="7"/>
    <x v="14"/>
    <x v="49"/>
    <x v="93"/>
    <x v="41"/>
    <x v="108"/>
    <x v="64"/>
    <x v="108"/>
    <x v="1"/>
  </r>
  <r>
    <x v="0"/>
    <x v="6"/>
    <x v="6"/>
    <x v="4"/>
    <x v="4"/>
    <x v="4"/>
    <x v="14"/>
    <x v="49"/>
    <x v="93"/>
    <x v="81"/>
    <x v="112"/>
    <x v="51"/>
    <x v="101"/>
    <x v="1"/>
  </r>
  <r>
    <x v="0"/>
    <x v="6"/>
    <x v="6"/>
    <x v="21"/>
    <x v="21"/>
    <x v="21"/>
    <x v="16"/>
    <x v="92"/>
    <x v="13"/>
    <x v="41"/>
    <x v="108"/>
    <x v="48"/>
    <x v="109"/>
    <x v="1"/>
  </r>
  <r>
    <x v="0"/>
    <x v="6"/>
    <x v="6"/>
    <x v="39"/>
    <x v="39"/>
    <x v="39"/>
    <x v="16"/>
    <x v="92"/>
    <x v="13"/>
    <x v="51"/>
    <x v="49"/>
    <x v="64"/>
    <x v="108"/>
    <x v="1"/>
  </r>
  <r>
    <x v="0"/>
    <x v="6"/>
    <x v="6"/>
    <x v="28"/>
    <x v="28"/>
    <x v="28"/>
    <x v="18"/>
    <x v="50"/>
    <x v="94"/>
    <x v="58"/>
    <x v="106"/>
    <x v="50"/>
    <x v="52"/>
    <x v="1"/>
  </r>
  <r>
    <x v="0"/>
    <x v="6"/>
    <x v="6"/>
    <x v="9"/>
    <x v="9"/>
    <x v="9"/>
    <x v="19"/>
    <x v="51"/>
    <x v="16"/>
    <x v="41"/>
    <x v="108"/>
    <x v="62"/>
    <x v="34"/>
    <x v="1"/>
  </r>
  <r>
    <x v="0"/>
    <x v="6"/>
    <x v="6"/>
    <x v="15"/>
    <x v="15"/>
    <x v="15"/>
    <x v="19"/>
    <x v="51"/>
    <x v="16"/>
    <x v="63"/>
    <x v="113"/>
    <x v="90"/>
    <x v="58"/>
    <x v="1"/>
  </r>
  <r>
    <x v="0"/>
    <x v="7"/>
    <x v="7"/>
    <x v="1"/>
    <x v="1"/>
    <x v="1"/>
    <x v="0"/>
    <x v="93"/>
    <x v="95"/>
    <x v="70"/>
    <x v="114"/>
    <x v="73"/>
    <x v="110"/>
    <x v="1"/>
  </r>
  <r>
    <x v="0"/>
    <x v="7"/>
    <x v="7"/>
    <x v="0"/>
    <x v="0"/>
    <x v="0"/>
    <x v="1"/>
    <x v="94"/>
    <x v="96"/>
    <x v="82"/>
    <x v="115"/>
    <x v="51"/>
    <x v="79"/>
    <x v="1"/>
  </r>
  <r>
    <x v="0"/>
    <x v="7"/>
    <x v="7"/>
    <x v="2"/>
    <x v="2"/>
    <x v="2"/>
    <x v="2"/>
    <x v="86"/>
    <x v="97"/>
    <x v="60"/>
    <x v="116"/>
    <x v="41"/>
    <x v="111"/>
    <x v="1"/>
  </r>
  <r>
    <x v="0"/>
    <x v="7"/>
    <x v="7"/>
    <x v="4"/>
    <x v="4"/>
    <x v="4"/>
    <x v="3"/>
    <x v="40"/>
    <x v="98"/>
    <x v="83"/>
    <x v="117"/>
    <x v="51"/>
    <x v="79"/>
    <x v="1"/>
  </r>
  <r>
    <x v="0"/>
    <x v="7"/>
    <x v="7"/>
    <x v="13"/>
    <x v="13"/>
    <x v="13"/>
    <x v="4"/>
    <x v="82"/>
    <x v="99"/>
    <x v="41"/>
    <x v="76"/>
    <x v="75"/>
    <x v="112"/>
    <x v="1"/>
  </r>
  <r>
    <x v="0"/>
    <x v="7"/>
    <x v="7"/>
    <x v="5"/>
    <x v="5"/>
    <x v="5"/>
    <x v="5"/>
    <x v="83"/>
    <x v="100"/>
    <x v="32"/>
    <x v="118"/>
    <x v="90"/>
    <x v="113"/>
    <x v="1"/>
  </r>
  <r>
    <x v="0"/>
    <x v="7"/>
    <x v="7"/>
    <x v="8"/>
    <x v="8"/>
    <x v="8"/>
    <x v="6"/>
    <x v="89"/>
    <x v="66"/>
    <x v="58"/>
    <x v="119"/>
    <x v="43"/>
    <x v="114"/>
    <x v="1"/>
  </r>
  <r>
    <x v="0"/>
    <x v="7"/>
    <x v="7"/>
    <x v="6"/>
    <x v="6"/>
    <x v="6"/>
    <x v="7"/>
    <x v="42"/>
    <x v="101"/>
    <x v="43"/>
    <x v="120"/>
    <x v="51"/>
    <x v="79"/>
    <x v="1"/>
  </r>
  <r>
    <x v="0"/>
    <x v="7"/>
    <x v="7"/>
    <x v="7"/>
    <x v="7"/>
    <x v="7"/>
    <x v="8"/>
    <x v="44"/>
    <x v="102"/>
    <x v="46"/>
    <x v="121"/>
    <x v="84"/>
    <x v="93"/>
    <x v="1"/>
  </r>
  <r>
    <x v="0"/>
    <x v="7"/>
    <x v="7"/>
    <x v="21"/>
    <x v="21"/>
    <x v="21"/>
    <x v="9"/>
    <x v="95"/>
    <x v="103"/>
    <x v="44"/>
    <x v="122"/>
    <x v="48"/>
    <x v="30"/>
    <x v="1"/>
  </r>
  <r>
    <x v="0"/>
    <x v="7"/>
    <x v="7"/>
    <x v="9"/>
    <x v="9"/>
    <x v="9"/>
    <x v="10"/>
    <x v="46"/>
    <x v="57"/>
    <x v="45"/>
    <x v="123"/>
    <x v="45"/>
    <x v="115"/>
    <x v="1"/>
  </r>
  <r>
    <x v="0"/>
    <x v="7"/>
    <x v="7"/>
    <x v="18"/>
    <x v="18"/>
    <x v="18"/>
    <x v="11"/>
    <x v="47"/>
    <x v="104"/>
    <x v="71"/>
    <x v="124"/>
    <x v="77"/>
    <x v="67"/>
    <x v="1"/>
  </r>
  <r>
    <x v="0"/>
    <x v="7"/>
    <x v="7"/>
    <x v="24"/>
    <x v="24"/>
    <x v="24"/>
    <x v="12"/>
    <x v="92"/>
    <x v="105"/>
    <x v="46"/>
    <x v="121"/>
    <x v="45"/>
    <x v="115"/>
    <x v="1"/>
  </r>
  <r>
    <x v="0"/>
    <x v="7"/>
    <x v="7"/>
    <x v="3"/>
    <x v="3"/>
    <x v="3"/>
    <x v="12"/>
    <x v="92"/>
    <x v="105"/>
    <x v="39"/>
    <x v="125"/>
    <x v="51"/>
    <x v="79"/>
    <x v="1"/>
  </r>
  <r>
    <x v="0"/>
    <x v="7"/>
    <x v="7"/>
    <x v="16"/>
    <x v="16"/>
    <x v="16"/>
    <x v="14"/>
    <x v="50"/>
    <x v="106"/>
    <x v="42"/>
    <x v="126"/>
    <x v="49"/>
    <x v="116"/>
    <x v="1"/>
  </r>
  <r>
    <x v="0"/>
    <x v="7"/>
    <x v="7"/>
    <x v="17"/>
    <x v="17"/>
    <x v="17"/>
    <x v="15"/>
    <x v="51"/>
    <x v="13"/>
    <x v="51"/>
    <x v="49"/>
    <x v="45"/>
    <x v="115"/>
    <x v="1"/>
  </r>
  <r>
    <x v="0"/>
    <x v="7"/>
    <x v="7"/>
    <x v="20"/>
    <x v="20"/>
    <x v="20"/>
    <x v="15"/>
    <x v="51"/>
    <x v="13"/>
    <x v="42"/>
    <x v="126"/>
    <x v="87"/>
    <x v="117"/>
    <x v="1"/>
  </r>
  <r>
    <x v="0"/>
    <x v="7"/>
    <x v="7"/>
    <x v="23"/>
    <x v="23"/>
    <x v="23"/>
    <x v="17"/>
    <x v="55"/>
    <x v="107"/>
    <x v="46"/>
    <x v="121"/>
    <x v="77"/>
    <x v="67"/>
    <x v="1"/>
  </r>
  <r>
    <x v="0"/>
    <x v="7"/>
    <x v="7"/>
    <x v="14"/>
    <x v="14"/>
    <x v="14"/>
    <x v="17"/>
    <x v="55"/>
    <x v="107"/>
    <x v="58"/>
    <x v="119"/>
    <x v="52"/>
    <x v="118"/>
    <x v="1"/>
  </r>
  <r>
    <x v="0"/>
    <x v="7"/>
    <x v="7"/>
    <x v="40"/>
    <x v="40"/>
    <x v="40"/>
    <x v="19"/>
    <x v="96"/>
    <x v="108"/>
    <x v="58"/>
    <x v="119"/>
    <x v="57"/>
    <x v="119"/>
    <x v="1"/>
  </r>
  <r>
    <x v="0"/>
    <x v="8"/>
    <x v="8"/>
    <x v="1"/>
    <x v="1"/>
    <x v="1"/>
    <x v="0"/>
    <x v="97"/>
    <x v="109"/>
    <x v="84"/>
    <x v="82"/>
    <x v="91"/>
    <x v="120"/>
    <x v="1"/>
  </r>
  <r>
    <x v="0"/>
    <x v="8"/>
    <x v="8"/>
    <x v="0"/>
    <x v="0"/>
    <x v="0"/>
    <x v="1"/>
    <x v="98"/>
    <x v="110"/>
    <x v="85"/>
    <x v="127"/>
    <x v="81"/>
    <x v="105"/>
    <x v="1"/>
  </r>
  <r>
    <x v="0"/>
    <x v="8"/>
    <x v="8"/>
    <x v="3"/>
    <x v="3"/>
    <x v="3"/>
    <x v="2"/>
    <x v="99"/>
    <x v="111"/>
    <x v="86"/>
    <x v="128"/>
    <x v="82"/>
    <x v="121"/>
    <x v="1"/>
  </r>
  <r>
    <x v="0"/>
    <x v="8"/>
    <x v="8"/>
    <x v="5"/>
    <x v="5"/>
    <x v="5"/>
    <x v="3"/>
    <x v="100"/>
    <x v="112"/>
    <x v="87"/>
    <x v="70"/>
    <x v="92"/>
    <x v="116"/>
    <x v="1"/>
  </r>
  <r>
    <x v="0"/>
    <x v="8"/>
    <x v="8"/>
    <x v="13"/>
    <x v="13"/>
    <x v="13"/>
    <x v="4"/>
    <x v="73"/>
    <x v="2"/>
    <x v="46"/>
    <x v="108"/>
    <x v="22"/>
    <x v="122"/>
    <x v="0"/>
  </r>
  <r>
    <x v="0"/>
    <x v="8"/>
    <x v="8"/>
    <x v="7"/>
    <x v="7"/>
    <x v="7"/>
    <x v="5"/>
    <x v="101"/>
    <x v="113"/>
    <x v="80"/>
    <x v="123"/>
    <x v="93"/>
    <x v="123"/>
    <x v="1"/>
  </r>
  <r>
    <x v="0"/>
    <x v="8"/>
    <x v="8"/>
    <x v="6"/>
    <x v="6"/>
    <x v="6"/>
    <x v="6"/>
    <x v="102"/>
    <x v="114"/>
    <x v="88"/>
    <x v="129"/>
    <x v="46"/>
    <x v="69"/>
    <x v="1"/>
  </r>
  <r>
    <x v="0"/>
    <x v="8"/>
    <x v="8"/>
    <x v="4"/>
    <x v="4"/>
    <x v="4"/>
    <x v="6"/>
    <x v="102"/>
    <x v="114"/>
    <x v="89"/>
    <x v="130"/>
    <x v="40"/>
    <x v="23"/>
    <x v="1"/>
  </r>
  <r>
    <x v="0"/>
    <x v="8"/>
    <x v="8"/>
    <x v="19"/>
    <x v="19"/>
    <x v="19"/>
    <x v="8"/>
    <x v="103"/>
    <x v="115"/>
    <x v="45"/>
    <x v="33"/>
    <x v="94"/>
    <x v="124"/>
    <x v="1"/>
  </r>
  <r>
    <x v="0"/>
    <x v="8"/>
    <x v="8"/>
    <x v="41"/>
    <x v="41"/>
    <x v="41"/>
    <x v="9"/>
    <x v="60"/>
    <x v="101"/>
    <x v="87"/>
    <x v="70"/>
    <x v="89"/>
    <x v="125"/>
    <x v="1"/>
  </r>
  <r>
    <x v="0"/>
    <x v="8"/>
    <x v="8"/>
    <x v="2"/>
    <x v="2"/>
    <x v="2"/>
    <x v="9"/>
    <x v="60"/>
    <x v="101"/>
    <x v="56"/>
    <x v="131"/>
    <x v="50"/>
    <x v="126"/>
    <x v="1"/>
  </r>
  <r>
    <x v="0"/>
    <x v="8"/>
    <x v="8"/>
    <x v="10"/>
    <x v="10"/>
    <x v="10"/>
    <x v="11"/>
    <x v="104"/>
    <x v="43"/>
    <x v="90"/>
    <x v="132"/>
    <x v="83"/>
    <x v="117"/>
    <x v="1"/>
  </r>
  <r>
    <x v="0"/>
    <x v="8"/>
    <x v="8"/>
    <x v="18"/>
    <x v="18"/>
    <x v="18"/>
    <x v="12"/>
    <x v="61"/>
    <x v="116"/>
    <x v="78"/>
    <x v="133"/>
    <x v="92"/>
    <x v="116"/>
    <x v="1"/>
  </r>
  <r>
    <x v="0"/>
    <x v="8"/>
    <x v="8"/>
    <x v="20"/>
    <x v="20"/>
    <x v="20"/>
    <x v="13"/>
    <x v="105"/>
    <x v="25"/>
    <x v="45"/>
    <x v="33"/>
    <x v="95"/>
    <x v="127"/>
    <x v="1"/>
  </r>
  <r>
    <x v="0"/>
    <x v="8"/>
    <x v="8"/>
    <x v="37"/>
    <x v="37"/>
    <x v="37"/>
    <x v="14"/>
    <x v="77"/>
    <x v="117"/>
    <x v="25"/>
    <x v="134"/>
    <x v="89"/>
    <x v="125"/>
    <x v="1"/>
  </r>
  <r>
    <x v="0"/>
    <x v="8"/>
    <x v="8"/>
    <x v="31"/>
    <x v="31"/>
    <x v="31"/>
    <x v="15"/>
    <x v="79"/>
    <x v="47"/>
    <x v="50"/>
    <x v="135"/>
    <x v="81"/>
    <x v="105"/>
    <x v="1"/>
  </r>
  <r>
    <x v="0"/>
    <x v="8"/>
    <x v="8"/>
    <x v="22"/>
    <x v="22"/>
    <x v="22"/>
    <x v="16"/>
    <x v="86"/>
    <x v="105"/>
    <x v="30"/>
    <x v="136"/>
    <x v="96"/>
    <x v="99"/>
    <x v="1"/>
  </r>
  <r>
    <x v="0"/>
    <x v="8"/>
    <x v="8"/>
    <x v="15"/>
    <x v="15"/>
    <x v="15"/>
    <x v="17"/>
    <x v="81"/>
    <x v="31"/>
    <x v="91"/>
    <x v="137"/>
    <x v="88"/>
    <x v="128"/>
    <x v="0"/>
  </r>
  <r>
    <x v="0"/>
    <x v="8"/>
    <x v="8"/>
    <x v="28"/>
    <x v="28"/>
    <x v="28"/>
    <x v="18"/>
    <x v="65"/>
    <x v="118"/>
    <x v="26"/>
    <x v="138"/>
    <x v="96"/>
    <x v="99"/>
    <x v="1"/>
  </r>
  <r>
    <x v="0"/>
    <x v="8"/>
    <x v="8"/>
    <x v="35"/>
    <x v="35"/>
    <x v="35"/>
    <x v="19"/>
    <x v="82"/>
    <x v="34"/>
    <x v="73"/>
    <x v="139"/>
    <x v="57"/>
    <x v="129"/>
    <x v="1"/>
  </r>
  <r>
    <x v="0"/>
    <x v="9"/>
    <x v="9"/>
    <x v="1"/>
    <x v="1"/>
    <x v="1"/>
    <x v="0"/>
    <x v="106"/>
    <x v="119"/>
    <x v="92"/>
    <x v="70"/>
    <x v="97"/>
    <x v="130"/>
    <x v="1"/>
  </r>
  <r>
    <x v="0"/>
    <x v="9"/>
    <x v="9"/>
    <x v="0"/>
    <x v="0"/>
    <x v="0"/>
    <x v="1"/>
    <x v="107"/>
    <x v="120"/>
    <x v="93"/>
    <x v="140"/>
    <x v="88"/>
    <x v="131"/>
    <x v="1"/>
  </r>
  <r>
    <x v="0"/>
    <x v="9"/>
    <x v="9"/>
    <x v="13"/>
    <x v="13"/>
    <x v="13"/>
    <x v="2"/>
    <x v="84"/>
    <x v="121"/>
    <x v="41"/>
    <x v="141"/>
    <x v="98"/>
    <x v="132"/>
    <x v="1"/>
  </r>
  <r>
    <x v="0"/>
    <x v="9"/>
    <x v="9"/>
    <x v="3"/>
    <x v="3"/>
    <x v="3"/>
    <x v="3"/>
    <x v="108"/>
    <x v="122"/>
    <x v="94"/>
    <x v="142"/>
    <x v="52"/>
    <x v="133"/>
    <x v="1"/>
  </r>
  <r>
    <x v="0"/>
    <x v="9"/>
    <x v="9"/>
    <x v="5"/>
    <x v="5"/>
    <x v="5"/>
    <x v="4"/>
    <x v="109"/>
    <x v="123"/>
    <x v="69"/>
    <x v="143"/>
    <x v="82"/>
    <x v="134"/>
    <x v="1"/>
  </r>
  <r>
    <x v="0"/>
    <x v="9"/>
    <x v="9"/>
    <x v="7"/>
    <x v="7"/>
    <x v="7"/>
    <x v="5"/>
    <x v="59"/>
    <x v="99"/>
    <x v="42"/>
    <x v="144"/>
    <x v="99"/>
    <x v="135"/>
    <x v="1"/>
  </r>
  <r>
    <x v="0"/>
    <x v="9"/>
    <x v="9"/>
    <x v="20"/>
    <x v="20"/>
    <x v="20"/>
    <x v="6"/>
    <x v="61"/>
    <x v="124"/>
    <x v="71"/>
    <x v="145"/>
    <x v="100"/>
    <x v="136"/>
    <x v="1"/>
  </r>
  <r>
    <x v="0"/>
    <x v="9"/>
    <x v="9"/>
    <x v="2"/>
    <x v="2"/>
    <x v="2"/>
    <x v="7"/>
    <x v="110"/>
    <x v="125"/>
    <x v="68"/>
    <x v="146"/>
    <x v="89"/>
    <x v="125"/>
    <x v="1"/>
  </r>
  <r>
    <x v="0"/>
    <x v="9"/>
    <x v="9"/>
    <x v="19"/>
    <x v="19"/>
    <x v="19"/>
    <x v="8"/>
    <x v="77"/>
    <x v="24"/>
    <x v="41"/>
    <x v="141"/>
    <x v="95"/>
    <x v="137"/>
    <x v="1"/>
  </r>
  <r>
    <x v="0"/>
    <x v="9"/>
    <x v="9"/>
    <x v="4"/>
    <x v="4"/>
    <x v="4"/>
    <x v="9"/>
    <x v="80"/>
    <x v="69"/>
    <x v="95"/>
    <x v="147"/>
    <x v="47"/>
    <x v="138"/>
    <x v="1"/>
  </r>
  <r>
    <x v="0"/>
    <x v="9"/>
    <x v="9"/>
    <x v="6"/>
    <x v="6"/>
    <x v="6"/>
    <x v="10"/>
    <x v="86"/>
    <x v="126"/>
    <x v="32"/>
    <x v="148"/>
    <x v="53"/>
    <x v="94"/>
    <x v="1"/>
  </r>
  <r>
    <x v="0"/>
    <x v="9"/>
    <x v="9"/>
    <x v="18"/>
    <x v="18"/>
    <x v="18"/>
    <x v="11"/>
    <x v="87"/>
    <x v="59"/>
    <x v="35"/>
    <x v="149"/>
    <x v="48"/>
    <x v="139"/>
    <x v="1"/>
  </r>
  <r>
    <x v="0"/>
    <x v="9"/>
    <x v="9"/>
    <x v="16"/>
    <x v="16"/>
    <x v="16"/>
    <x v="12"/>
    <x v="111"/>
    <x v="127"/>
    <x v="48"/>
    <x v="150"/>
    <x v="58"/>
    <x v="30"/>
    <x v="1"/>
  </r>
  <r>
    <x v="0"/>
    <x v="9"/>
    <x v="9"/>
    <x v="22"/>
    <x v="22"/>
    <x v="22"/>
    <x v="13"/>
    <x v="65"/>
    <x v="128"/>
    <x v="49"/>
    <x v="151"/>
    <x v="82"/>
    <x v="134"/>
    <x v="1"/>
  </r>
  <r>
    <x v="0"/>
    <x v="9"/>
    <x v="9"/>
    <x v="21"/>
    <x v="21"/>
    <x v="21"/>
    <x v="14"/>
    <x v="40"/>
    <x v="92"/>
    <x v="58"/>
    <x v="152"/>
    <x v="69"/>
    <x v="140"/>
    <x v="1"/>
  </r>
  <r>
    <x v="0"/>
    <x v="9"/>
    <x v="9"/>
    <x v="9"/>
    <x v="9"/>
    <x v="9"/>
    <x v="14"/>
    <x v="40"/>
    <x v="92"/>
    <x v="45"/>
    <x v="153"/>
    <x v="92"/>
    <x v="141"/>
    <x v="1"/>
  </r>
  <r>
    <x v="0"/>
    <x v="9"/>
    <x v="9"/>
    <x v="42"/>
    <x v="42"/>
    <x v="42"/>
    <x v="16"/>
    <x v="83"/>
    <x v="129"/>
    <x v="46"/>
    <x v="154"/>
    <x v="69"/>
    <x v="140"/>
    <x v="1"/>
  </r>
  <r>
    <x v="0"/>
    <x v="9"/>
    <x v="9"/>
    <x v="36"/>
    <x v="36"/>
    <x v="36"/>
    <x v="17"/>
    <x v="88"/>
    <x v="82"/>
    <x v="41"/>
    <x v="141"/>
    <x v="69"/>
    <x v="140"/>
    <x v="1"/>
  </r>
  <r>
    <x v="0"/>
    <x v="9"/>
    <x v="9"/>
    <x v="8"/>
    <x v="8"/>
    <x v="8"/>
    <x v="18"/>
    <x v="89"/>
    <x v="16"/>
    <x v="46"/>
    <x v="154"/>
    <x v="42"/>
    <x v="71"/>
    <x v="1"/>
  </r>
  <r>
    <x v="0"/>
    <x v="9"/>
    <x v="9"/>
    <x v="40"/>
    <x v="40"/>
    <x v="40"/>
    <x v="19"/>
    <x v="43"/>
    <x v="130"/>
    <x v="48"/>
    <x v="150"/>
    <x v="84"/>
    <x v="142"/>
    <x v="1"/>
  </r>
  <r>
    <x v="0"/>
    <x v="10"/>
    <x v="10"/>
    <x v="1"/>
    <x v="1"/>
    <x v="1"/>
    <x v="0"/>
    <x v="112"/>
    <x v="131"/>
    <x v="39"/>
    <x v="155"/>
    <x v="79"/>
    <x v="143"/>
    <x v="1"/>
  </r>
  <r>
    <x v="0"/>
    <x v="10"/>
    <x v="10"/>
    <x v="0"/>
    <x v="0"/>
    <x v="0"/>
    <x v="1"/>
    <x v="79"/>
    <x v="132"/>
    <x v="83"/>
    <x v="156"/>
    <x v="78"/>
    <x v="139"/>
    <x v="1"/>
  </r>
  <r>
    <x v="0"/>
    <x v="10"/>
    <x v="10"/>
    <x v="5"/>
    <x v="5"/>
    <x v="5"/>
    <x v="2"/>
    <x v="87"/>
    <x v="113"/>
    <x v="34"/>
    <x v="24"/>
    <x v="66"/>
    <x v="55"/>
    <x v="1"/>
  </r>
  <r>
    <x v="0"/>
    <x v="10"/>
    <x v="10"/>
    <x v="3"/>
    <x v="3"/>
    <x v="3"/>
    <x v="3"/>
    <x v="88"/>
    <x v="66"/>
    <x v="96"/>
    <x v="157"/>
    <x v="89"/>
    <x v="144"/>
    <x v="1"/>
  </r>
  <r>
    <x v="0"/>
    <x v="10"/>
    <x v="10"/>
    <x v="2"/>
    <x v="2"/>
    <x v="2"/>
    <x v="4"/>
    <x v="67"/>
    <x v="125"/>
    <x v="34"/>
    <x v="24"/>
    <x v="101"/>
    <x v="145"/>
    <x v="1"/>
  </r>
  <r>
    <x v="0"/>
    <x v="10"/>
    <x v="10"/>
    <x v="10"/>
    <x v="10"/>
    <x v="10"/>
    <x v="5"/>
    <x v="89"/>
    <x v="133"/>
    <x v="91"/>
    <x v="158"/>
    <x v="48"/>
    <x v="146"/>
    <x v="1"/>
  </r>
  <r>
    <x v="0"/>
    <x v="10"/>
    <x v="10"/>
    <x v="16"/>
    <x v="16"/>
    <x v="16"/>
    <x v="6"/>
    <x v="42"/>
    <x v="134"/>
    <x v="42"/>
    <x v="56"/>
    <x v="63"/>
    <x v="147"/>
    <x v="1"/>
  </r>
  <r>
    <x v="0"/>
    <x v="10"/>
    <x v="10"/>
    <x v="19"/>
    <x v="19"/>
    <x v="19"/>
    <x v="6"/>
    <x v="42"/>
    <x v="134"/>
    <x v="48"/>
    <x v="159"/>
    <x v="43"/>
    <x v="148"/>
    <x v="1"/>
  </r>
  <r>
    <x v="0"/>
    <x v="10"/>
    <x v="10"/>
    <x v="8"/>
    <x v="8"/>
    <x v="8"/>
    <x v="8"/>
    <x v="43"/>
    <x v="26"/>
    <x v="58"/>
    <x v="86"/>
    <x v="82"/>
    <x v="149"/>
    <x v="1"/>
  </r>
  <r>
    <x v="0"/>
    <x v="10"/>
    <x v="10"/>
    <x v="7"/>
    <x v="7"/>
    <x v="7"/>
    <x v="9"/>
    <x v="69"/>
    <x v="135"/>
    <x v="41"/>
    <x v="160"/>
    <x v="63"/>
    <x v="147"/>
    <x v="1"/>
  </r>
  <r>
    <x v="0"/>
    <x v="10"/>
    <x v="10"/>
    <x v="17"/>
    <x v="17"/>
    <x v="17"/>
    <x v="10"/>
    <x v="44"/>
    <x v="79"/>
    <x v="42"/>
    <x v="56"/>
    <x v="82"/>
    <x v="149"/>
    <x v="1"/>
  </r>
  <r>
    <x v="0"/>
    <x v="10"/>
    <x v="10"/>
    <x v="20"/>
    <x v="20"/>
    <x v="20"/>
    <x v="10"/>
    <x v="44"/>
    <x v="79"/>
    <x v="48"/>
    <x v="159"/>
    <x v="96"/>
    <x v="150"/>
    <x v="1"/>
  </r>
  <r>
    <x v="0"/>
    <x v="10"/>
    <x v="10"/>
    <x v="21"/>
    <x v="21"/>
    <x v="21"/>
    <x v="12"/>
    <x v="95"/>
    <x v="70"/>
    <x v="48"/>
    <x v="159"/>
    <x v="46"/>
    <x v="151"/>
    <x v="1"/>
  </r>
  <r>
    <x v="0"/>
    <x v="10"/>
    <x v="10"/>
    <x v="9"/>
    <x v="9"/>
    <x v="9"/>
    <x v="12"/>
    <x v="95"/>
    <x v="70"/>
    <x v="48"/>
    <x v="159"/>
    <x v="46"/>
    <x v="151"/>
    <x v="1"/>
  </r>
  <r>
    <x v="0"/>
    <x v="10"/>
    <x v="10"/>
    <x v="11"/>
    <x v="11"/>
    <x v="11"/>
    <x v="12"/>
    <x v="95"/>
    <x v="70"/>
    <x v="58"/>
    <x v="86"/>
    <x v="40"/>
    <x v="16"/>
    <x v="1"/>
  </r>
  <r>
    <x v="0"/>
    <x v="10"/>
    <x v="10"/>
    <x v="6"/>
    <x v="6"/>
    <x v="6"/>
    <x v="12"/>
    <x v="95"/>
    <x v="70"/>
    <x v="61"/>
    <x v="161"/>
    <x v="86"/>
    <x v="152"/>
    <x v="1"/>
  </r>
  <r>
    <x v="0"/>
    <x v="10"/>
    <x v="10"/>
    <x v="18"/>
    <x v="18"/>
    <x v="18"/>
    <x v="12"/>
    <x v="95"/>
    <x v="70"/>
    <x v="50"/>
    <x v="162"/>
    <x v="62"/>
    <x v="153"/>
    <x v="1"/>
  </r>
  <r>
    <x v="0"/>
    <x v="10"/>
    <x v="10"/>
    <x v="22"/>
    <x v="22"/>
    <x v="22"/>
    <x v="17"/>
    <x v="46"/>
    <x v="28"/>
    <x v="71"/>
    <x v="163"/>
    <x v="53"/>
    <x v="63"/>
    <x v="1"/>
  </r>
  <r>
    <x v="0"/>
    <x v="10"/>
    <x v="10"/>
    <x v="13"/>
    <x v="13"/>
    <x v="13"/>
    <x v="18"/>
    <x v="47"/>
    <x v="136"/>
    <x v="41"/>
    <x v="160"/>
    <x v="46"/>
    <x v="151"/>
    <x v="1"/>
  </r>
  <r>
    <x v="0"/>
    <x v="10"/>
    <x v="10"/>
    <x v="24"/>
    <x v="24"/>
    <x v="24"/>
    <x v="19"/>
    <x v="48"/>
    <x v="137"/>
    <x v="41"/>
    <x v="160"/>
    <x v="40"/>
    <x v="16"/>
    <x v="1"/>
  </r>
  <r>
    <x v="0"/>
    <x v="10"/>
    <x v="10"/>
    <x v="27"/>
    <x v="27"/>
    <x v="27"/>
    <x v="19"/>
    <x v="48"/>
    <x v="137"/>
    <x v="48"/>
    <x v="159"/>
    <x v="45"/>
    <x v="117"/>
    <x v="1"/>
  </r>
  <r>
    <x v="0"/>
    <x v="11"/>
    <x v="11"/>
    <x v="0"/>
    <x v="0"/>
    <x v="0"/>
    <x v="0"/>
    <x v="102"/>
    <x v="96"/>
    <x v="97"/>
    <x v="164"/>
    <x v="90"/>
    <x v="154"/>
    <x v="1"/>
  </r>
  <r>
    <x v="0"/>
    <x v="11"/>
    <x v="11"/>
    <x v="2"/>
    <x v="2"/>
    <x v="2"/>
    <x v="1"/>
    <x v="113"/>
    <x v="112"/>
    <x v="98"/>
    <x v="165"/>
    <x v="101"/>
    <x v="155"/>
    <x v="1"/>
  </r>
  <r>
    <x v="0"/>
    <x v="11"/>
    <x v="11"/>
    <x v="1"/>
    <x v="1"/>
    <x v="1"/>
    <x v="2"/>
    <x v="75"/>
    <x v="138"/>
    <x v="47"/>
    <x v="166"/>
    <x v="102"/>
    <x v="156"/>
    <x v="1"/>
  </r>
  <r>
    <x v="0"/>
    <x v="11"/>
    <x v="11"/>
    <x v="11"/>
    <x v="11"/>
    <x v="11"/>
    <x v="3"/>
    <x v="94"/>
    <x v="125"/>
    <x v="49"/>
    <x v="167"/>
    <x v="92"/>
    <x v="28"/>
    <x v="1"/>
  </r>
  <r>
    <x v="0"/>
    <x v="11"/>
    <x v="11"/>
    <x v="43"/>
    <x v="43"/>
    <x v="43"/>
    <x v="4"/>
    <x v="79"/>
    <x v="88"/>
    <x v="44"/>
    <x v="168"/>
    <x v="103"/>
    <x v="157"/>
    <x v="1"/>
  </r>
  <r>
    <x v="0"/>
    <x v="11"/>
    <x v="11"/>
    <x v="3"/>
    <x v="3"/>
    <x v="3"/>
    <x v="5"/>
    <x v="111"/>
    <x v="139"/>
    <x v="33"/>
    <x v="169"/>
    <x v="86"/>
    <x v="2"/>
    <x v="1"/>
  </r>
  <r>
    <x v="0"/>
    <x v="11"/>
    <x v="11"/>
    <x v="14"/>
    <x v="14"/>
    <x v="14"/>
    <x v="5"/>
    <x v="111"/>
    <x v="139"/>
    <x v="30"/>
    <x v="30"/>
    <x v="40"/>
    <x v="158"/>
    <x v="1"/>
  </r>
  <r>
    <x v="0"/>
    <x v="11"/>
    <x v="11"/>
    <x v="12"/>
    <x v="12"/>
    <x v="12"/>
    <x v="7"/>
    <x v="81"/>
    <x v="140"/>
    <x v="39"/>
    <x v="170"/>
    <x v="96"/>
    <x v="159"/>
    <x v="1"/>
  </r>
  <r>
    <x v="0"/>
    <x v="11"/>
    <x v="11"/>
    <x v="8"/>
    <x v="8"/>
    <x v="8"/>
    <x v="8"/>
    <x v="82"/>
    <x v="47"/>
    <x v="48"/>
    <x v="171"/>
    <x v="92"/>
    <x v="28"/>
    <x v="1"/>
  </r>
  <r>
    <x v="0"/>
    <x v="11"/>
    <x v="11"/>
    <x v="9"/>
    <x v="9"/>
    <x v="9"/>
    <x v="9"/>
    <x v="83"/>
    <x v="80"/>
    <x v="58"/>
    <x v="44"/>
    <x v="83"/>
    <x v="106"/>
    <x v="1"/>
  </r>
  <r>
    <x v="0"/>
    <x v="11"/>
    <x v="11"/>
    <x v="7"/>
    <x v="7"/>
    <x v="7"/>
    <x v="9"/>
    <x v="83"/>
    <x v="80"/>
    <x v="46"/>
    <x v="172"/>
    <x v="69"/>
    <x v="160"/>
    <x v="1"/>
  </r>
  <r>
    <x v="0"/>
    <x v="11"/>
    <x v="11"/>
    <x v="16"/>
    <x v="16"/>
    <x v="16"/>
    <x v="11"/>
    <x v="67"/>
    <x v="137"/>
    <x v="58"/>
    <x v="44"/>
    <x v="88"/>
    <x v="115"/>
    <x v="1"/>
  </r>
  <r>
    <x v="0"/>
    <x v="11"/>
    <x v="11"/>
    <x v="44"/>
    <x v="44"/>
    <x v="44"/>
    <x v="12"/>
    <x v="68"/>
    <x v="129"/>
    <x v="80"/>
    <x v="173"/>
    <x v="45"/>
    <x v="161"/>
    <x v="1"/>
  </r>
  <r>
    <x v="0"/>
    <x v="11"/>
    <x v="11"/>
    <x v="6"/>
    <x v="6"/>
    <x v="6"/>
    <x v="12"/>
    <x v="68"/>
    <x v="129"/>
    <x v="34"/>
    <x v="174"/>
    <x v="44"/>
    <x v="162"/>
    <x v="1"/>
  </r>
  <r>
    <x v="0"/>
    <x v="11"/>
    <x v="11"/>
    <x v="4"/>
    <x v="4"/>
    <x v="4"/>
    <x v="12"/>
    <x v="68"/>
    <x v="129"/>
    <x v="40"/>
    <x v="175"/>
    <x v="101"/>
    <x v="155"/>
    <x v="1"/>
  </r>
  <r>
    <x v="0"/>
    <x v="11"/>
    <x v="11"/>
    <x v="18"/>
    <x v="18"/>
    <x v="18"/>
    <x v="15"/>
    <x v="89"/>
    <x v="82"/>
    <x v="30"/>
    <x v="30"/>
    <x v="66"/>
    <x v="111"/>
    <x v="1"/>
  </r>
  <r>
    <x v="0"/>
    <x v="11"/>
    <x v="11"/>
    <x v="17"/>
    <x v="17"/>
    <x v="17"/>
    <x v="16"/>
    <x v="42"/>
    <x v="83"/>
    <x v="46"/>
    <x v="172"/>
    <x v="88"/>
    <x v="115"/>
    <x v="1"/>
  </r>
  <r>
    <x v="0"/>
    <x v="11"/>
    <x v="11"/>
    <x v="40"/>
    <x v="40"/>
    <x v="40"/>
    <x v="17"/>
    <x v="69"/>
    <x v="141"/>
    <x v="71"/>
    <x v="55"/>
    <x v="62"/>
    <x v="163"/>
    <x v="1"/>
  </r>
  <r>
    <x v="0"/>
    <x v="11"/>
    <x v="11"/>
    <x v="21"/>
    <x v="21"/>
    <x v="21"/>
    <x v="18"/>
    <x v="44"/>
    <x v="142"/>
    <x v="48"/>
    <x v="171"/>
    <x v="96"/>
    <x v="159"/>
    <x v="1"/>
  </r>
  <r>
    <x v="0"/>
    <x v="11"/>
    <x v="11"/>
    <x v="24"/>
    <x v="24"/>
    <x v="24"/>
    <x v="19"/>
    <x v="95"/>
    <x v="143"/>
    <x v="44"/>
    <x v="168"/>
    <x v="48"/>
    <x v="67"/>
    <x v="1"/>
  </r>
  <r>
    <x v="0"/>
    <x v="11"/>
    <x v="11"/>
    <x v="5"/>
    <x v="5"/>
    <x v="5"/>
    <x v="19"/>
    <x v="95"/>
    <x v="143"/>
    <x v="81"/>
    <x v="176"/>
    <x v="72"/>
    <x v="164"/>
    <x v="1"/>
  </r>
  <r>
    <x v="0"/>
    <x v="12"/>
    <x v="12"/>
    <x v="0"/>
    <x v="0"/>
    <x v="0"/>
    <x v="0"/>
    <x v="114"/>
    <x v="144"/>
    <x v="99"/>
    <x v="177"/>
    <x v="102"/>
    <x v="165"/>
    <x v="1"/>
  </r>
  <r>
    <x v="0"/>
    <x v="12"/>
    <x v="12"/>
    <x v="1"/>
    <x v="1"/>
    <x v="1"/>
    <x v="1"/>
    <x v="115"/>
    <x v="145"/>
    <x v="68"/>
    <x v="178"/>
    <x v="104"/>
    <x v="166"/>
    <x v="1"/>
  </r>
  <r>
    <x v="0"/>
    <x v="12"/>
    <x v="12"/>
    <x v="2"/>
    <x v="2"/>
    <x v="2"/>
    <x v="2"/>
    <x v="116"/>
    <x v="146"/>
    <x v="100"/>
    <x v="179"/>
    <x v="78"/>
    <x v="167"/>
    <x v="1"/>
  </r>
  <r>
    <x v="0"/>
    <x v="12"/>
    <x v="12"/>
    <x v="3"/>
    <x v="3"/>
    <x v="3"/>
    <x v="3"/>
    <x v="117"/>
    <x v="19"/>
    <x v="101"/>
    <x v="180"/>
    <x v="42"/>
    <x v="168"/>
    <x v="1"/>
  </r>
  <r>
    <x v="0"/>
    <x v="12"/>
    <x v="12"/>
    <x v="6"/>
    <x v="6"/>
    <x v="6"/>
    <x v="4"/>
    <x v="118"/>
    <x v="147"/>
    <x v="38"/>
    <x v="181"/>
    <x v="58"/>
    <x v="95"/>
    <x v="1"/>
  </r>
  <r>
    <x v="0"/>
    <x v="12"/>
    <x v="12"/>
    <x v="5"/>
    <x v="5"/>
    <x v="5"/>
    <x v="5"/>
    <x v="119"/>
    <x v="148"/>
    <x v="102"/>
    <x v="182"/>
    <x v="63"/>
    <x v="169"/>
    <x v="1"/>
  </r>
  <r>
    <x v="0"/>
    <x v="12"/>
    <x v="12"/>
    <x v="4"/>
    <x v="4"/>
    <x v="4"/>
    <x v="6"/>
    <x v="120"/>
    <x v="149"/>
    <x v="103"/>
    <x v="183"/>
    <x v="40"/>
    <x v="170"/>
    <x v="1"/>
  </r>
  <r>
    <x v="0"/>
    <x v="12"/>
    <x v="12"/>
    <x v="8"/>
    <x v="8"/>
    <x v="8"/>
    <x v="7"/>
    <x v="121"/>
    <x v="150"/>
    <x v="26"/>
    <x v="25"/>
    <x v="105"/>
    <x v="171"/>
    <x v="1"/>
  </r>
  <r>
    <x v="0"/>
    <x v="12"/>
    <x v="12"/>
    <x v="15"/>
    <x v="15"/>
    <x v="15"/>
    <x v="8"/>
    <x v="122"/>
    <x v="79"/>
    <x v="88"/>
    <x v="184"/>
    <x v="56"/>
    <x v="36"/>
    <x v="1"/>
  </r>
  <r>
    <x v="0"/>
    <x v="12"/>
    <x v="12"/>
    <x v="7"/>
    <x v="7"/>
    <x v="7"/>
    <x v="9"/>
    <x v="123"/>
    <x v="46"/>
    <x v="57"/>
    <x v="31"/>
    <x v="106"/>
    <x v="172"/>
    <x v="1"/>
  </r>
  <r>
    <x v="0"/>
    <x v="12"/>
    <x v="12"/>
    <x v="10"/>
    <x v="10"/>
    <x v="10"/>
    <x v="10"/>
    <x v="57"/>
    <x v="104"/>
    <x v="56"/>
    <x v="185"/>
    <x v="95"/>
    <x v="173"/>
    <x v="1"/>
  </r>
  <r>
    <x v="0"/>
    <x v="12"/>
    <x v="12"/>
    <x v="9"/>
    <x v="9"/>
    <x v="9"/>
    <x v="11"/>
    <x v="124"/>
    <x v="151"/>
    <x v="66"/>
    <x v="152"/>
    <x v="107"/>
    <x v="174"/>
    <x v="1"/>
  </r>
  <r>
    <x v="0"/>
    <x v="12"/>
    <x v="12"/>
    <x v="30"/>
    <x v="30"/>
    <x v="30"/>
    <x v="12"/>
    <x v="100"/>
    <x v="91"/>
    <x v="88"/>
    <x v="184"/>
    <x v="58"/>
    <x v="95"/>
    <x v="1"/>
  </r>
  <r>
    <x v="0"/>
    <x v="12"/>
    <x v="12"/>
    <x v="13"/>
    <x v="13"/>
    <x v="13"/>
    <x v="13"/>
    <x v="125"/>
    <x v="29"/>
    <x v="42"/>
    <x v="141"/>
    <x v="65"/>
    <x v="175"/>
    <x v="1"/>
  </r>
  <r>
    <x v="0"/>
    <x v="12"/>
    <x v="12"/>
    <x v="11"/>
    <x v="11"/>
    <x v="11"/>
    <x v="14"/>
    <x v="84"/>
    <x v="92"/>
    <x v="34"/>
    <x v="145"/>
    <x v="79"/>
    <x v="71"/>
    <x v="1"/>
  </r>
  <r>
    <x v="0"/>
    <x v="12"/>
    <x v="12"/>
    <x v="20"/>
    <x v="20"/>
    <x v="20"/>
    <x v="15"/>
    <x v="73"/>
    <x v="31"/>
    <x v="61"/>
    <x v="186"/>
    <x v="79"/>
    <x v="71"/>
    <x v="1"/>
  </r>
  <r>
    <x v="0"/>
    <x v="12"/>
    <x v="12"/>
    <x v="14"/>
    <x v="14"/>
    <x v="14"/>
    <x v="16"/>
    <x v="126"/>
    <x v="11"/>
    <x v="59"/>
    <x v="187"/>
    <x v="58"/>
    <x v="95"/>
    <x v="1"/>
  </r>
  <r>
    <x v="0"/>
    <x v="12"/>
    <x v="12"/>
    <x v="19"/>
    <x v="19"/>
    <x v="19"/>
    <x v="17"/>
    <x v="108"/>
    <x v="12"/>
    <x v="91"/>
    <x v="150"/>
    <x v="108"/>
    <x v="109"/>
    <x v="1"/>
  </r>
  <r>
    <x v="0"/>
    <x v="12"/>
    <x v="12"/>
    <x v="12"/>
    <x v="12"/>
    <x v="12"/>
    <x v="18"/>
    <x v="74"/>
    <x v="16"/>
    <x v="47"/>
    <x v="106"/>
    <x v="95"/>
    <x v="173"/>
    <x v="1"/>
  </r>
  <r>
    <x v="0"/>
    <x v="12"/>
    <x v="12"/>
    <x v="17"/>
    <x v="17"/>
    <x v="17"/>
    <x v="19"/>
    <x v="58"/>
    <x v="142"/>
    <x v="45"/>
    <x v="154"/>
    <x v="109"/>
    <x v="32"/>
    <x v="1"/>
  </r>
  <r>
    <x v="0"/>
    <x v="13"/>
    <x v="13"/>
    <x v="0"/>
    <x v="0"/>
    <x v="0"/>
    <x v="0"/>
    <x v="127"/>
    <x v="152"/>
    <x v="104"/>
    <x v="188"/>
    <x v="62"/>
    <x v="27"/>
    <x v="1"/>
  </r>
  <r>
    <x v="0"/>
    <x v="13"/>
    <x v="13"/>
    <x v="2"/>
    <x v="2"/>
    <x v="2"/>
    <x v="1"/>
    <x v="128"/>
    <x v="153"/>
    <x v="105"/>
    <x v="189"/>
    <x v="86"/>
    <x v="176"/>
    <x v="1"/>
  </r>
  <r>
    <x v="0"/>
    <x v="13"/>
    <x v="13"/>
    <x v="4"/>
    <x v="4"/>
    <x v="4"/>
    <x v="2"/>
    <x v="129"/>
    <x v="138"/>
    <x v="106"/>
    <x v="190"/>
    <x v="49"/>
    <x v="86"/>
    <x v="1"/>
  </r>
  <r>
    <x v="0"/>
    <x v="13"/>
    <x v="13"/>
    <x v="5"/>
    <x v="5"/>
    <x v="5"/>
    <x v="3"/>
    <x v="130"/>
    <x v="115"/>
    <x v="107"/>
    <x v="191"/>
    <x v="49"/>
    <x v="86"/>
    <x v="1"/>
  </r>
  <r>
    <x v="0"/>
    <x v="13"/>
    <x v="13"/>
    <x v="3"/>
    <x v="3"/>
    <x v="3"/>
    <x v="4"/>
    <x v="99"/>
    <x v="154"/>
    <x v="108"/>
    <x v="192"/>
    <x v="52"/>
    <x v="4"/>
    <x v="1"/>
  </r>
  <r>
    <x v="0"/>
    <x v="13"/>
    <x v="13"/>
    <x v="6"/>
    <x v="6"/>
    <x v="6"/>
    <x v="5"/>
    <x v="131"/>
    <x v="155"/>
    <x v="109"/>
    <x v="193"/>
    <x v="46"/>
    <x v="177"/>
    <x v="1"/>
  </r>
  <r>
    <x v="0"/>
    <x v="13"/>
    <x v="13"/>
    <x v="1"/>
    <x v="1"/>
    <x v="1"/>
    <x v="6"/>
    <x v="107"/>
    <x v="65"/>
    <x v="82"/>
    <x v="194"/>
    <x v="99"/>
    <x v="103"/>
    <x v="1"/>
  </r>
  <r>
    <x v="0"/>
    <x v="13"/>
    <x v="13"/>
    <x v="14"/>
    <x v="14"/>
    <x v="14"/>
    <x v="7"/>
    <x v="122"/>
    <x v="156"/>
    <x v="98"/>
    <x v="195"/>
    <x v="60"/>
    <x v="134"/>
    <x v="1"/>
  </r>
  <r>
    <x v="0"/>
    <x v="13"/>
    <x v="13"/>
    <x v="12"/>
    <x v="12"/>
    <x v="12"/>
    <x v="8"/>
    <x v="100"/>
    <x v="157"/>
    <x v="110"/>
    <x v="196"/>
    <x v="103"/>
    <x v="33"/>
    <x v="1"/>
  </r>
  <r>
    <x v="0"/>
    <x v="13"/>
    <x v="13"/>
    <x v="11"/>
    <x v="11"/>
    <x v="11"/>
    <x v="9"/>
    <x v="132"/>
    <x v="43"/>
    <x v="70"/>
    <x v="197"/>
    <x v="110"/>
    <x v="80"/>
    <x v="1"/>
  </r>
  <r>
    <x v="0"/>
    <x v="13"/>
    <x v="13"/>
    <x v="10"/>
    <x v="10"/>
    <x v="10"/>
    <x v="10"/>
    <x v="72"/>
    <x v="103"/>
    <x v="25"/>
    <x v="198"/>
    <x v="75"/>
    <x v="158"/>
    <x v="0"/>
  </r>
  <r>
    <x v="0"/>
    <x v="13"/>
    <x v="13"/>
    <x v="16"/>
    <x v="16"/>
    <x v="16"/>
    <x v="11"/>
    <x v="74"/>
    <x v="80"/>
    <x v="49"/>
    <x v="25"/>
    <x v="24"/>
    <x v="178"/>
    <x v="1"/>
  </r>
  <r>
    <x v="0"/>
    <x v="13"/>
    <x v="13"/>
    <x v="17"/>
    <x v="17"/>
    <x v="17"/>
    <x v="12"/>
    <x v="75"/>
    <x v="129"/>
    <x v="44"/>
    <x v="199"/>
    <x v="111"/>
    <x v="147"/>
    <x v="1"/>
  </r>
  <r>
    <x v="0"/>
    <x v="13"/>
    <x v="13"/>
    <x v="8"/>
    <x v="8"/>
    <x v="8"/>
    <x v="12"/>
    <x v="75"/>
    <x v="129"/>
    <x v="80"/>
    <x v="126"/>
    <x v="95"/>
    <x v="9"/>
    <x v="1"/>
  </r>
  <r>
    <x v="0"/>
    <x v="13"/>
    <x v="13"/>
    <x v="20"/>
    <x v="20"/>
    <x v="20"/>
    <x v="12"/>
    <x v="75"/>
    <x v="129"/>
    <x v="90"/>
    <x v="200"/>
    <x v="69"/>
    <x v="179"/>
    <x v="1"/>
  </r>
  <r>
    <x v="0"/>
    <x v="13"/>
    <x v="13"/>
    <x v="7"/>
    <x v="7"/>
    <x v="7"/>
    <x v="15"/>
    <x v="104"/>
    <x v="32"/>
    <x v="80"/>
    <x v="126"/>
    <x v="100"/>
    <x v="180"/>
    <x v="1"/>
  </r>
  <r>
    <x v="0"/>
    <x v="13"/>
    <x v="13"/>
    <x v="9"/>
    <x v="9"/>
    <x v="9"/>
    <x v="16"/>
    <x v="133"/>
    <x v="158"/>
    <x v="30"/>
    <x v="201"/>
    <x v="81"/>
    <x v="181"/>
    <x v="1"/>
  </r>
  <r>
    <x v="0"/>
    <x v="13"/>
    <x v="13"/>
    <x v="15"/>
    <x v="15"/>
    <x v="15"/>
    <x v="17"/>
    <x v="61"/>
    <x v="34"/>
    <x v="111"/>
    <x v="63"/>
    <x v="87"/>
    <x v="182"/>
    <x v="1"/>
  </r>
  <r>
    <x v="0"/>
    <x v="13"/>
    <x v="13"/>
    <x v="29"/>
    <x v="29"/>
    <x v="29"/>
    <x v="18"/>
    <x v="76"/>
    <x v="142"/>
    <x v="52"/>
    <x v="202"/>
    <x v="72"/>
    <x v="101"/>
    <x v="1"/>
  </r>
  <r>
    <x v="0"/>
    <x v="13"/>
    <x v="13"/>
    <x v="30"/>
    <x v="30"/>
    <x v="30"/>
    <x v="19"/>
    <x v="110"/>
    <x v="159"/>
    <x v="33"/>
    <x v="203"/>
    <x v="49"/>
    <x v="86"/>
    <x v="1"/>
  </r>
  <r>
    <x v="0"/>
    <x v="14"/>
    <x v="14"/>
    <x v="1"/>
    <x v="1"/>
    <x v="1"/>
    <x v="0"/>
    <x v="134"/>
    <x v="160"/>
    <x v="112"/>
    <x v="204"/>
    <x v="112"/>
    <x v="183"/>
    <x v="1"/>
  </r>
  <r>
    <x v="0"/>
    <x v="14"/>
    <x v="14"/>
    <x v="0"/>
    <x v="0"/>
    <x v="0"/>
    <x v="1"/>
    <x v="135"/>
    <x v="161"/>
    <x v="113"/>
    <x v="205"/>
    <x v="68"/>
    <x v="6"/>
    <x v="1"/>
  </r>
  <r>
    <x v="0"/>
    <x v="14"/>
    <x v="14"/>
    <x v="2"/>
    <x v="2"/>
    <x v="2"/>
    <x v="2"/>
    <x v="136"/>
    <x v="162"/>
    <x v="114"/>
    <x v="206"/>
    <x v="78"/>
    <x v="125"/>
    <x v="1"/>
  </r>
  <r>
    <x v="0"/>
    <x v="14"/>
    <x v="14"/>
    <x v="6"/>
    <x v="6"/>
    <x v="6"/>
    <x v="3"/>
    <x v="137"/>
    <x v="163"/>
    <x v="115"/>
    <x v="207"/>
    <x v="24"/>
    <x v="184"/>
    <x v="1"/>
  </r>
  <r>
    <x v="0"/>
    <x v="14"/>
    <x v="14"/>
    <x v="7"/>
    <x v="7"/>
    <x v="7"/>
    <x v="4"/>
    <x v="138"/>
    <x v="125"/>
    <x v="61"/>
    <x v="208"/>
    <x v="113"/>
    <x v="185"/>
    <x v="1"/>
  </r>
  <r>
    <x v="0"/>
    <x v="14"/>
    <x v="14"/>
    <x v="3"/>
    <x v="3"/>
    <x v="3"/>
    <x v="5"/>
    <x v="139"/>
    <x v="164"/>
    <x v="116"/>
    <x v="209"/>
    <x v="92"/>
    <x v="186"/>
    <x v="1"/>
  </r>
  <r>
    <x v="0"/>
    <x v="14"/>
    <x v="14"/>
    <x v="4"/>
    <x v="4"/>
    <x v="4"/>
    <x v="6"/>
    <x v="39"/>
    <x v="165"/>
    <x v="117"/>
    <x v="147"/>
    <x v="40"/>
    <x v="107"/>
    <x v="1"/>
  </r>
  <r>
    <x v="0"/>
    <x v="14"/>
    <x v="14"/>
    <x v="43"/>
    <x v="43"/>
    <x v="43"/>
    <x v="7"/>
    <x v="127"/>
    <x v="166"/>
    <x v="69"/>
    <x v="94"/>
    <x v="114"/>
    <x v="96"/>
    <x v="1"/>
  </r>
  <r>
    <x v="0"/>
    <x v="14"/>
    <x v="14"/>
    <x v="9"/>
    <x v="9"/>
    <x v="9"/>
    <x v="8"/>
    <x v="140"/>
    <x v="167"/>
    <x v="118"/>
    <x v="210"/>
    <x v="115"/>
    <x v="187"/>
    <x v="1"/>
  </r>
  <r>
    <x v="0"/>
    <x v="14"/>
    <x v="14"/>
    <x v="8"/>
    <x v="8"/>
    <x v="8"/>
    <x v="9"/>
    <x v="141"/>
    <x v="168"/>
    <x v="73"/>
    <x v="8"/>
    <x v="116"/>
    <x v="13"/>
    <x v="1"/>
  </r>
  <r>
    <x v="0"/>
    <x v="14"/>
    <x v="14"/>
    <x v="5"/>
    <x v="5"/>
    <x v="5"/>
    <x v="10"/>
    <x v="142"/>
    <x v="90"/>
    <x v="119"/>
    <x v="211"/>
    <x v="117"/>
    <x v="188"/>
    <x v="0"/>
  </r>
  <r>
    <x v="0"/>
    <x v="14"/>
    <x v="14"/>
    <x v="13"/>
    <x v="13"/>
    <x v="13"/>
    <x v="11"/>
    <x v="143"/>
    <x v="105"/>
    <x v="58"/>
    <x v="13"/>
    <x v="118"/>
    <x v="189"/>
    <x v="0"/>
  </r>
  <r>
    <x v="0"/>
    <x v="14"/>
    <x v="14"/>
    <x v="10"/>
    <x v="10"/>
    <x v="10"/>
    <x v="12"/>
    <x v="144"/>
    <x v="169"/>
    <x v="102"/>
    <x v="212"/>
    <x v="67"/>
    <x v="94"/>
    <x v="1"/>
  </r>
  <r>
    <x v="0"/>
    <x v="14"/>
    <x v="14"/>
    <x v="16"/>
    <x v="16"/>
    <x v="16"/>
    <x v="13"/>
    <x v="145"/>
    <x v="14"/>
    <x v="63"/>
    <x v="199"/>
    <x v="119"/>
    <x v="190"/>
    <x v="1"/>
  </r>
  <r>
    <x v="0"/>
    <x v="14"/>
    <x v="14"/>
    <x v="40"/>
    <x v="40"/>
    <x v="40"/>
    <x v="14"/>
    <x v="146"/>
    <x v="33"/>
    <x v="120"/>
    <x v="213"/>
    <x v="37"/>
    <x v="81"/>
    <x v="1"/>
  </r>
  <r>
    <x v="0"/>
    <x v="14"/>
    <x v="14"/>
    <x v="24"/>
    <x v="24"/>
    <x v="24"/>
    <x v="14"/>
    <x v="146"/>
    <x v="33"/>
    <x v="81"/>
    <x v="34"/>
    <x v="120"/>
    <x v="191"/>
    <x v="1"/>
  </r>
  <r>
    <x v="0"/>
    <x v="14"/>
    <x v="14"/>
    <x v="17"/>
    <x v="17"/>
    <x v="17"/>
    <x v="16"/>
    <x v="147"/>
    <x v="170"/>
    <x v="57"/>
    <x v="26"/>
    <x v="121"/>
    <x v="97"/>
    <x v="1"/>
  </r>
  <r>
    <x v="0"/>
    <x v="14"/>
    <x v="14"/>
    <x v="18"/>
    <x v="18"/>
    <x v="18"/>
    <x v="17"/>
    <x v="148"/>
    <x v="171"/>
    <x v="121"/>
    <x v="124"/>
    <x v="70"/>
    <x v="192"/>
    <x v="1"/>
  </r>
  <r>
    <x v="0"/>
    <x v="14"/>
    <x v="14"/>
    <x v="19"/>
    <x v="19"/>
    <x v="19"/>
    <x v="18"/>
    <x v="149"/>
    <x v="71"/>
    <x v="72"/>
    <x v="214"/>
    <x v="122"/>
    <x v="193"/>
    <x v="1"/>
  </r>
  <r>
    <x v="0"/>
    <x v="14"/>
    <x v="14"/>
    <x v="21"/>
    <x v="21"/>
    <x v="21"/>
    <x v="19"/>
    <x v="128"/>
    <x v="143"/>
    <x v="30"/>
    <x v="215"/>
    <x v="122"/>
    <x v="193"/>
    <x v="1"/>
  </r>
  <r>
    <x v="0"/>
    <x v="15"/>
    <x v="15"/>
    <x v="0"/>
    <x v="0"/>
    <x v="0"/>
    <x v="0"/>
    <x v="100"/>
    <x v="50"/>
    <x v="122"/>
    <x v="216"/>
    <x v="72"/>
    <x v="55"/>
    <x v="1"/>
  </r>
  <r>
    <x v="0"/>
    <x v="15"/>
    <x v="15"/>
    <x v="2"/>
    <x v="2"/>
    <x v="2"/>
    <x v="1"/>
    <x v="150"/>
    <x v="96"/>
    <x v="87"/>
    <x v="217"/>
    <x v="101"/>
    <x v="194"/>
    <x v="1"/>
  </r>
  <r>
    <x v="0"/>
    <x v="15"/>
    <x v="15"/>
    <x v="6"/>
    <x v="6"/>
    <x v="6"/>
    <x v="2"/>
    <x v="62"/>
    <x v="172"/>
    <x v="95"/>
    <x v="218"/>
    <x v="78"/>
    <x v="11"/>
    <x v="1"/>
  </r>
  <r>
    <x v="0"/>
    <x v="15"/>
    <x v="15"/>
    <x v="14"/>
    <x v="14"/>
    <x v="14"/>
    <x v="3"/>
    <x v="86"/>
    <x v="4"/>
    <x v="123"/>
    <x v="219"/>
    <x v="57"/>
    <x v="10"/>
    <x v="1"/>
  </r>
  <r>
    <x v="0"/>
    <x v="15"/>
    <x v="15"/>
    <x v="11"/>
    <x v="11"/>
    <x v="11"/>
    <x v="4"/>
    <x v="41"/>
    <x v="149"/>
    <x v="26"/>
    <x v="220"/>
    <x v="40"/>
    <x v="38"/>
    <x v="1"/>
  </r>
  <r>
    <x v="0"/>
    <x v="15"/>
    <x v="15"/>
    <x v="7"/>
    <x v="7"/>
    <x v="7"/>
    <x v="5"/>
    <x v="83"/>
    <x v="173"/>
    <x v="45"/>
    <x v="56"/>
    <x v="61"/>
    <x v="195"/>
    <x v="1"/>
  </r>
  <r>
    <x v="0"/>
    <x v="15"/>
    <x v="15"/>
    <x v="3"/>
    <x v="3"/>
    <x v="3"/>
    <x v="5"/>
    <x v="83"/>
    <x v="173"/>
    <x v="123"/>
    <x v="219"/>
    <x v="101"/>
    <x v="194"/>
    <x v="1"/>
  </r>
  <r>
    <x v="0"/>
    <x v="15"/>
    <x v="15"/>
    <x v="5"/>
    <x v="5"/>
    <x v="5"/>
    <x v="7"/>
    <x v="88"/>
    <x v="134"/>
    <x v="40"/>
    <x v="221"/>
    <x v="86"/>
    <x v="84"/>
    <x v="1"/>
  </r>
  <r>
    <x v="0"/>
    <x v="15"/>
    <x v="15"/>
    <x v="15"/>
    <x v="15"/>
    <x v="15"/>
    <x v="8"/>
    <x v="68"/>
    <x v="117"/>
    <x v="61"/>
    <x v="222"/>
    <x v="52"/>
    <x v="49"/>
    <x v="1"/>
  </r>
  <r>
    <x v="0"/>
    <x v="15"/>
    <x v="15"/>
    <x v="4"/>
    <x v="4"/>
    <x v="4"/>
    <x v="9"/>
    <x v="42"/>
    <x v="59"/>
    <x v="90"/>
    <x v="223"/>
    <x v="101"/>
    <x v="194"/>
    <x v="1"/>
  </r>
  <r>
    <x v="0"/>
    <x v="15"/>
    <x v="15"/>
    <x v="12"/>
    <x v="12"/>
    <x v="12"/>
    <x v="10"/>
    <x v="43"/>
    <x v="47"/>
    <x v="72"/>
    <x v="224"/>
    <x v="47"/>
    <x v="44"/>
    <x v="1"/>
  </r>
  <r>
    <x v="0"/>
    <x v="15"/>
    <x v="15"/>
    <x v="9"/>
    <x v="9"/>
    <x v="9"/>
    <x v="11"/>
    <x v="44"/>
    <x v="9"/>
    <x v="66"/>
    <x v="225"/>
    <x v="77"/>
    <x v="196"/>
    <x v="1"/>
  </r>
  <r>
    <x v="0"/>
    <x v="15"/>
    <x v="15"/>
    <x v="1"/>
    <x v="1"/>
    <x v="1"/>
    <x v="12"/>
    <x v="95"/>
    <x v="48"/>
    <x v="63"/>
    <x v="226"/>
    <x v="53"/>
    <x v="50"/>
    <x v="1"/>
  </r>
  <r>
    <x v="0"/>
    <x v="15"/>
    <x v="15"/>
    <x v="28"/>
    <x v="28"/>
    <x v="28"/>
    <x v="13"/>
    <x v="47"/>
    <x v="32"/>
    <x v="45"/>
    <x v="56"/>
    <x v="62"/>
    <x v="189"/>
    <x v="1"/>
  </r>
  <r>
    <x v="0"/>
    <x v="15"/>
    <x v="15"/>
    <x v="24"/>
    <x v="24"/>
    <x v="24"/>
    <x v="14"/>
    <x v="48"/>
    <x v="170"/>
    <x v="80"/>
    <x v="227"/>
    <x v="57"/>
    <x v="10"/>
    <x v="1"/>
  </r>
  <r>
    <x v="0"/>
    <x v="15"/>
    <x v="15"/>
    <x v="16"/>
    <x v="16"/>
    <x v="16"/>
    <x v="15"/>
    <x v="49"/>
    <x v="142"/>
    <x v="62"/>
    <x v="228"/>
    <x v="53"/>
    <x v="50"/>
    <x v="1"/>
  </r>
  <r>
    <x v="0"/>
    <x v="15"/>
    <x v="15"/>
    <x v="45"/>
    <x v="45"/>
    <x v="45"/>
    <x v="15"/>
    <x v="49"/>
    <x v="142"/>
    <x v="26"/>
    <x v="220"/>
    <x v="47"/>
    <x v="44"/>
    <x v="1"/>
  </r>
  <r>
    <x v="0"/>
    <x v="15"/>
    <x v="15"/>
    <x v="46"/>
    <x v="46"/>
    <x v="46"/>
    <x v="15"/>
    <x v="49"/>
    <x v="142"/>
    <x v="39"/>
    <x v="229"/>
    <x v="86"/>
    <x v="84"/>
    <x v="1"/>
  </r>
  <r>
    <x v="0"/>
    <x v="15"/>
    <x v="15"/>
    <x v="10"/>
    <x v="10"/>
    <x v="10"/>
    <x v="15"/>
    <x v="49"/>
    <x v="142"/>
    <x v="57"/>
    <x v="86"/>
    <x v="78"/>
    <x v="11"/>
    <x v="1"/>
  </r>
  <r>
    <x v="0"/>
    <x v="15"/>
    <x v="15"/>
    <x v="18"/>
    <x v="18"/>
    <x v="18"/>
    <x v="15"/>
    <x v="49"/>
    <x v="142"/>
    <x v="66"/>
    <x v="225"/>
    <x v="41"/>
    <x v="39"/>
    <x v="1"/>
  </r>
  <r>
    <x v="0"/>
    <x v="16"/>
    <x v="16"/>
    <x v="0"/>
    <x v="0"/>
    <x v="0"/>
    <x v="0"/>
    <x v="151"/>
    <x v="174"/>
    <x v="38"/>
    <x v="230"/>
    <x v="90"/>
    <x v="126"/>
    <x v="1"/>
  </r>
  <r>
    <x v="0"/>
    <x v="16"/>
    <x v="16"/>
    <x v="1"/>
    <x v="1"/>
    <x v="1"/>
    <x v="1"/>
    <x v="58"/>
    <x v="175"/>
    <x v="25"/>
    <x v="169"/>
    <x v="40"/>
    <x v="197"/>
    <x v="1"/>
  </r>
  <r>
    <x v="0"/>
    <x v="16"/>
    <x v="16"/>
    <x v="6"/>
    <x v="6"/>
    <x v="6"/>
    <x v="2"/>
    <x v="152"/>
    <x v="176"/>
    <x v="124"/>
    <x v="231"/>
    <x v="41"/>
    <x v="35"/>
    <x v="1"/>
  </r>
  <r>
    <x v="0"/>
    <x v="16"/>
    <x v="16"/>
    <x v="12"/>
    <x v="12"/>
    <x v="12"/>
    <x v="3"/>
    <x v="60"/>
    <x v="122"/>
    <x v="59"/>
    <x v="232"/>
    <x v="48"/>
    <x v="78"/>
    <x v="1"/>
  </r>
  <r>
    <x v="0"/>
    <x v="16"/>
    <x v="16"/>
    <x v="4"/>
    <x v="4"/>
    <x v="4"/>
    <x v="4"/>
    <x v="153"/>
    <x v="177"/>
    <x v="125"/>
    <x v="233"/>
    <x v="47"/>
    <x v="198"/>
    <x v="1"/>
  </r>
  <r>
    <x v="0"/>
    <x v="16"/>
    <x v="16"/>
    <x v="2"/>
    <x v="2"/>
    <x v="2"/>
    <x v="4"/>
    <x v="153"/>
    <x v="177"/>
    <x v="75"/>
    <x v="190"/>
    <x v="44"/>
    <x v="42"/>
    <x v="1"/>
  </r>
  <r>
    <x v="0"/>
    <x v="16"/>
    <x v="16"/>
    <x v="3"/>
    <x v="3"/>
    <x v="3"/>
    <x v="6"/>
    <x v="79"/>
    <x v="41"/>
    <x v="92"/>
    <x v="83"/>
    <x v="86"/>
    <x v="199"/>
    <x v="1"/>
  </r>
  <r>
    <x v="0"/>
    <x v="16"/>
    <x v="16"/>
    <x v="11"/>
    <x v="11"/>
    <x v="11"/>
    <x v="7"/>
    <x v="87"/>
    <x v="125"/>
    <x v="78"/>
    <x v="234"/>
    <x v="62"/>
    <x v="96"/>
    <x v="1"/>
  </r>
  <r>
    <x v="0"/>
    <x v="16"/>
    <x v="16"/>
    <x v="47"/>
    <x v="47"/>
    <x v="47"/>
    <x v="7"/>
    <x v="87"/>
    <x v="125"/>
    <x v="96"/>
    <x v="235"/>
    <x v="57"/>
    <x v="200"/>
    <x v="0"/>
  </r>
  <r>
    <x v="0"/>
    <x v="16"/>
    <x v="16"/>
    <x v="29"/>
    <x v="29"/>
    <x v="29"/>
    <x v="9"/>
    <x v="65"/>
    <x v="116"/>
    <x v="83"/>
    <x v="236"/>
    <x v="86"/>
    <x v="199"/>
    <x v="1"/>
  </r>
  <r>
    <x v="0"/>
    <x v="16"/>
    <x v="16"/>
    <x v="10"/>
    <x v="10"/>
    <x v="10"/>
    <x v="10"/>
    <x v="41"/>
    <x v="178"/>
    <x v="43"/>
    <x v="30"/>
    <x v="66"/>
    <x v="173"/>
    <x v="1"/>
  </r>
  <r>
    <x v="0"/>
    <x v="16"/>
    <x v="16"/>
    <x v="30"/>
    <x v="30"/>
    <x v="30"/>
    <x v="11"/>
    <x v="82"/>
    <x v="179"/>
    <x v="73"/>
    <x v="237"/>
    <x v="57"/>
    <x v="200"/>
    <x v="1"/>
  </r>
  <r>
    <x v="0"/>
    <x v="16"/>
    <x v="16"/>
    <x v="5"/>
    <x v="5"/>
    <x v="5"/>
    <x v="11"/>
    <x v="82"/>
    <x v="179"/>
    <x v="90"/>
    <x v="48"/>
    <x v="41"/>
    <x v="35"/>
    <x v="0"/>
  </r>
  <r>
    <x v="0"/>
    <x v="16"/>
    <x v="16"/>
    <x v="14"/>
    <x v="14"/>
    <x v="14"/>
    <x v="13"/>
    <x v="88"/>
    <x v="180"/>
    <x v="78"/>
    <x v="234"/>
    <x v="52"/>
    <x v="201"/>
    <x v="1"/>
  </r>
  <r>
    <x v="0"/>
    <x v="16"/>
    <x v="16"/>
    <x v="17"/>
    <x v="17"/>
    <x v="17"/>
    <x v="14"/>
    <x v="66"/>
    <x v="70"/>
    <x v="45"/>
    <x v="150"/>
    <x v="88"/>
    <x v="202"/>
    <x v="1"/>
  </r>
  <r>
    <x v="0"/>
    <x v="16"/>
    <x v="16"/>
    <x v="15"/>
    <x v="15"/>
    <x v="15"/>
    <x v="15"/>
    <x v="44"/>
    <x v="12"/>
    <x v="120"/>
    <x v="43"/>
    <x v="72"/>
    <x v="203"/>
    <x v="1"/>
  </r>
  <r>
    <x v="0"/>
    <x v="16"/>
    <x v="16"/>
    <x v="9"/>
    <x v="9"/>
    <x v="9"/>
    <x v="16"/>
    <x v="45"/>
    <x v="33"/>
    <x v="66"/>
    <x v="94"/>
    <x v="66"/>
    <x v="173"/>
    <x v="1"/>
  </r>
  <r>
    <x v="0"/>
    <x v="16"/>
    <x v="16"/>
    <x v="48"/>
    <x v="48"/>
    <x v="48"/>
    <x v="17"/>
    <x v="46"/>
    <x v="16"/>
    <x v="30"/>
    <x v="238"/>
    <x v="86"/>
    <x v="199"/>
    <x v="1"/>
  </r>
  <r>
    <x v="0"/>
    <x v="16"/>
    <x v="16"/>
    <x v="7"/>
    <x v="7"/>
    <x v="7"/>
    <x v="18"/>
    <x v="48"/>
    <x v="181"/>
    <x v="45"/>
    <x v="150"/>
    <x v="49"/>
    <x v="204"/>
    <x v="1"/>
  </r>
  <r>
    <x v="0"/>
    <x v="16"/>
    <x v="16"/>
    <x v="16"/>
    <x v="16"/>
    <x v="16"/>
    <x v="19"/>
    <x v="49"/>
    <x v="107"/>
    <x v="45"/>
    <x v="150"/>
    <x v="87"/>
    <x v="115"/>
    <x v="1"/>
  </r>
  <r>
    <x v="0"/>
    <x v="16"/>
    <x v="16"/>
    <x v="49"/>
    <x v="49"/>
    <x v="49"/>
    <x v="19"/>
    <x v="49"/>
    <x v="107"/>
    <x v="48"/>
    <x v="35"/>
    <x v="62"/>
    <x v="96"/>
    <x v="1"/>
  </r>
  <r>
    <x v="0"/>
    <x v="16"/>
    <x v="16"/>
    <x v="28"/>
    <x v="28"/>
    <x v="28"/>
    <x v="19"/>
    <x v="49"/>
    <x v="107"/>
    <x v="58"/>
    <x v="31"/>
    <x v="49"/>
    <x v="204"/>
    <x v="1"/>
  </r>
  <r>
    <x v="0"/>
    <x v="16"/>
    <x v="16"/>
    <x v="35"/>
    <x v="35"/>
    <x v="35"/>
    <x v="19"/>
    <x v="49"/>
    <x v="107"/>
    <x v="30"/>
    <x v="238"/>
    <x v="101"/>
    <x v="205"/>
    <x v="1"/>
  </r>
  <r>
    <x v="0"/>
    <x v="17"/>
    <x v="17"/>
    <x v="0"/>
    <x v="0"/>
    <x v="0"/>
    <x v="0"/>
    <x v="154"/>
    <x v="182"/>
    <x v="126"/>
    <x v="239"/>
    <x v="56"/>
    <x v="206"/>
    <x v="1"/>
  </r>
  <r>
    <x v="0"/>
    <x v="17"/>
    <x v="17"/>
    <x v="1"/>
    <x v="1"/>
    <x v="1"/>
    <x v="1"/>
    <x v="155"/>
    <x v="183"/>
    <x v="13"/>
    <x v="240"/>
    <x v="123"/>
    <x v="207"/>
    <x v="1"/>
  </r>
  <r>
    <x v="0"/>
    <x v="17"/>
    <x v="17"/>
    <x v="3"/>
    <x v="3"/>
    <x v="3"/>
    <x v="2"/>
    <x v="156"/>
    <x v="145"/>
    <x v="119"/>
    <x v="241"/>
    <x v="62"/>
    <x v="3"/>
    <x v="1"/>
  </r>
  <r>
    <x v="0"/>
    <x v="17"/>
    <x v="17"/>
    <x v="2"/>
    <x v="2"/>
    <x v="2"/>
    <x v="3"/>
    <x v="157"/>
    <x v="76"/>
    <x v="36"/>
    <x v="242"/>
    <x v="66"/>
    <x v="208"/>
    <x v="1"/>
  </r>
  <r>
    <x v="0"/>
    <x v="17"/>
    <x v="17"/>
    <x v="5"/>
    <x v="5"/>
    <x v="5"/>
    <x v="4"/>
    <x v="119"/>
    <x v="184"/>
    <x v="127"/>
    <x v="243"/>
    <x v="73"/>
    <x v="65"/>
    <x v="0"/>
  </r>
  <r>
    <x v="0"/>
    <x v="17"/>
    <x v="17"/>
    <x v="7"/>
    <x v="7"/>
    <x v="7"/>
    <x v="5"/>
    <x v="158"/>
    <x v="185"/>
    <x v="81"/>
    <x v="244"/>
    <x v="124"/>
    <x v="209"/>
    <x v="1"/>
  </r>
  <r>
    <x v="0"/>
    <x v="17"/>
    <x v="17"/>
    <x v="4"/>
    <x v="4"/>
    <x v="4"/>
    <x v="6"/>
    <x v="159"/>
    <x v="67"/>
    <x v="128"/>
    <x v="4"/>
    <x v="53"/>
    <x v="186"/>
    <x v="1"/>
  </r>
  <r>
    <x v="0"/>
    <x v="17"/>
    <x v="17"/>
    <x v="6"/>
    <x v="6"/>
    <x v="6"/>
    <x v="7"/>
    <x v="107"/>
    <x v="24"/>
    <x v="129"/>
    <x v="245"/>
    <x v="84"/>
    <x v="210"/>
    <x v="1"/>
  </r>
  <r>
    <x v="0"/>
    <x v="17"/>
    <x v="17"/>
    <x v="13"/>
    <x v="13"/>
    <x v="13"/>
    <x v="8"/>
    <x v="160"/>
    <x v="116"/>
    <x v="42"/>
    <x v="246"/>
    <x v="125"/>
    <x v="211"/>
    <x v="1"/>
  </r>
  <r>
    <x v="0"/>
    <x v="17"/>
    <x v="17"/>
    <x v="10"/>
    <x v="10"/>
    <x v="10"/>
    <x v="9"/>
    <x v="122"/>
    <x v="25"/>
    <x v="56"/>
    <x v="139"/>
    <x v="126"/>
    <x v="212"/>
    <x v="0"/>
  </r>
  <r>
    <x v="0"/>
    <x v="17"/>
    <x v="17"/>
    <x v="15"/>
    <x v="15"/>
    <x v="15"/>
    <x v="10"/>
    <x v="57"/>
    <x v="45"/>
    <x v="125"/>
    <x v="247"/>
    <x v="102"/>
    <x v="163"/>
    <x v="0"/>
  </r>
  <r>
    <x v="0"/>
    <x v="17"/>
    <x v="17"/>
    <x v="21"/>
    <x v="21"/>
    <x v="21"/>
    <x v="11"/>
    <x v="100"/>
    <x v="57"/>
    <x v="50"/>
    <x v="34"/>
    <x v="127"/>
    <x v="78"/>
    <x v="1"/>
  </r>
  <r>
    <x v="0"/>
    <x v="17"/>
    <x v="17"/>
    <x v="19"/>
    <x v="19"/>
    <x v="19"/>
    <x v="12"/>
    <x v="73"/>
    <x v="29"/>
    <x v="48"/>
    <x v="160"/>
    <x v="128"/>
    <x v="8"/>
    <x v="1"/>
  </r>
  <r>
    <x v="0"/>
    <x v="17"/>
    <x v="17"/>
    <x v="11"/>
    <x v="11"/>
    <x v="11"/>
    <x v="13"/>
    <x v="161"/>
    <x v="48"/>
    <x v="40"/>
    <x v="248"/>
    <x v="56"/>
    <x v="206"/>
    <x v="1"/>
  </r>
  <r>
    <x v="0"/>
    <x v="17"/>
    <x v="17"/>
    <x v="16"/>
    <x v="16"/>
    <x v="16"/>
    <x v="14"/>
    <x v="112"/>
    <x v="106"/>
    <x v="57"/>
    <x v="150"/>
    <x v="93"/>
    <x v="109"/>
    <x v="1"/>
  </r>
  <r>
    <x v="0"/>
    <x v="17"/>
    <x v="17"/>
    <x v="9"/>
    <x v="9"/>
    <x v="9"/>
    <x v="15"/>
    <x v="109"/>
    <x v="93"/>
    <x v="45"/>
    <x v="19"/>
    <x v="108"/>
    <x v="108"/>
    <x v="1"/>
  </r>
  <r>
    <x v="0"/>
    <x v="17"/>
    <x v="17"/>
    <x v="8"/>
    <x v="8"/>
    <x v="8"/>
    <x v="15"/>
    <x v="109"/>
    <x v="93"/>
    <x v="57"/>
    <x v="150"/>
    <x v="109"/>
    <x v="140"/>
    <x v="1"/>
  </r>
  <r>
    <x v="0"/>
    <x v="17"/>
    <x v="17"/>
    <x v="20"/>
    <x v="20"/>
    <x v="20"/>
    <x v="17"/>
    <x v="113"/>
    <x v="12"/>
    <x v="80"/>
    <x v="249"/>
    <x v="79"/>
    <x v="117"/>
    <x v="1"/>
  </r>
  <r>
    <x v="0"/>
    <x v="17"/>
    <x v="17"/>
    <x v="24"/>
    <x v="24"/>
    <x v="24"/>
    <x v="18"/>
    <x v="58"/>
    <x v="14"/>
    <x v="91"/>
    <x v="250"/>
    <x v="129"/>
    <x v="33"/>
    <x v="1"/>
  </r>
  <r>
    <x v="0"/>
    <x v="17"/>
    <x v="17"/>
    <x v="17"/>
    <x v="17"/>
    <x v="17"/>
    <x v="19"/>
    <x v="162"/>
    <x v="49"/>
    <x v="42"/>
    <x v="246"/>
    <x v="93"/>
    <x v="109"/>
    <x v="1"/>
  </r>
  <r>
    <x v="0"/>
    <x v="18"/>
    <x v="18"/>
    <x v="0"/>
    <x v="0"/>
    <x v="0"/>
    <x v="0"/>
    <x v="73"/>
    <x v="186"/>
    <x v="67"/>
    <x v="251"/>
    <x v="47"/>
    <x v="184"/>
    <x v="1"/>
  </r>
  <r>
    <x v="0"/>
    <x v="18"/>
    <x v="18"/>
    <x v="1"/>
    <x v="1"/>
    <x v="1"/>
    <x v="1"/>
    <x v="105"/>
    <x v="187"/>
    <x v="33"/>
    <x v="252"/>
    <x v="48"/>
    <x v="213"/>
    <x v="1"/>
  </r>
  <r>
    <x v="0"/>
    <x v="18"/>
    <x v="18"/>
    <x v="2"/>
    <x v="2"/>
    <x v="2"/>
    <x v="2"/>
    <x v="64"/>
    <x v="188"/>
    <x v="59"/>
    <x v="253"/>
    <x v="101"/>
    <x v="205"/>
    <x v="1"/>
  </r>
  <r>
    <x v="0"/>
    <x v="18"/>
    <x v="18"/>
    <x v="5"/>
    <x v="5"/>
    <x v="5"/>
    <x v="2"/>
    <x v="64"/>
    <x v="188"/>
    <x v="118"/>
    <x v="254"/>
    <x v="90"/>
    <x v="214"/>
    <x v="0"/>
  </r>
  <r>
    <x v="0"/>
    <x v="18"/>
    <x v="18"/>
    <x v="4"/>
    <x v="4"/>
    <x v="4"/>
    <x v="4"/>
    <x v="87"/>
    <x v="155"/>
    <x v="95"/>
    <x v="255"/>
    <x v="101"/>
    <x v="205"/>
    <x v="1"/>
  </r>
  <r>
    <x v="0"/>
    <x v="18"/>
    <x v="18"/>
    <x v="3"/>
    <x v="3"/>
    <x v="3"/>
    <x v="5"/>
    <x v="81"/>
    <x v="189"/>
    <x v="33"/>
    <x v="252"/>
    <x v="51"/>
    <x v="215"/>
    <x v="1"/>
  </r>
  <r>
    <x v="0"/>
    <x v="18"/>
    <x v="18"/>
    <x v="12"/>
    <x v="12"/>
    <x v="12"/>
    <x v="6"/>
    <x v="40"/>
    <x v="22"/>
    <x v="73"/>
    <x v="256"/>
    <x v="66"/>
    <x v="12"/>
    <x v="1"/>
  </r>
  <r>
    <x v="0"/>
    <x v="18"/>
    <x v="18"/>
    <x v="6"/>
    <x v="6"/>
    <x v="6"/>
    <x v="6"/>
    <x v="40"/>
    <x v="22"/>
    <x v="40"/>
    <x v="257"/>
    <x v="72"/>
    <x v="216"/>
    <x v="1"/>
  </r>
  <r>
    <x v="0"/>
    <x v="18"/>
    <x v="18"/>
    <x v="35"/>
    <x v="35"/>
    <x v="35"/>
    <x v="8"/>
    <x v="82"/>
    <x v="164"/>
    <x v="96"/>
    <x v="112"/>
    <x v="86"/>
    <x v="164"/>
    <x v="1"/>
  </r>
  <r>
    <x v="0"/>
    <x v="18"/>
    <x v="18"/>
    <x v="15"/>
    <x v="15"/>
    <x v="15"/>
    <x v="9"/>
    <x v="83"/>
    <x v="157"/>
    <x v="90"/>
    <x v="82"/>
    <x v="41"/>
    <x v="217"/>
    <x v="1"/>
  </r>
  <r>
    <x v="0"/>
    <x v="18"/>
    <x v="18"/>
    <x v="10"/>
    <x v="10"/>
    <x v="10"/>
    <x v="10"/>
    <x v="66"/>
    <x v="25"/>
    <x v="47"/>
    <x v="258"/>
    <x v="77"/>
    <x v="81"/>
    <x v="1"/>
  </r>
  <r>
    <x v="0"/>
    <x v="18"/>
    <x v="18"/>
    <x v="30"/>
    <x v="30"/>
    <x v="30"/>
    <x v="11"/>
    <x v="67"/>
    <x v="178"/>
    <x v="79"/>
    <x v="259"/>
    <x v="41"/>
    <x v="217"/>
    <x v="1"/>
  </r>
  <r>
    <x v="0"/>
    <x v="18"/>
    <x v="18"/>
    <x v="14"/>
    <x v="14"/>
    <x v="14"/>
    <x v="12"/>
    <x v="89"/>
    <x v="117"/>
    <x v="72"/>
    <x v="109"/>
    <x v="41"/>
    <x v="217"/>
    <x v="1"/>
  </r>
  <r>
    <x v="0"/>
    <x v="18"/>
    <x v="18"/>
    <x v="17"/>
    <x v="17"/>
    <x v="17"/>
    <x v="13"/>
    <x v="43"/>
    <x v="190"/>
    <x v="58"/>
    <x v="260"/>
    <x v="82"/>
    <x v="218"/>
    <x v="1"/>
  </r>
  <r>
    <x v="0"/>
    <x v="18"/>
    <x v="18"/>
    <x v="9"/>
    <x v="9"/>
    <x v="9"/>
    <x v="14"/>
    <x v="69"/>
    <x v="47"/>
    <x v="50"/>
    <x v="201"/>
    <x v="48"/>
    <x v="213"/>
    <x v="1"/>
  </r>
  <r>
    <x v="0"/>
    <x v="18"/>
    <x v="18"/>
    <x v="11"/>
    <x v="11"/>
    <x v="11"/>
    <x v="15"/>
    <x v="95"/>
    <x v="136"/>
    <x v="81"/>
    <x v="63"/>
    <x v="72"/>
    <x v="216"/>
    <x v="1"/>
  </r>
  <r>
    <x v="0"/>
    <x v="18"/>
    <x v="18"/>
    <x v="29"/>
    <x v="29"/>
    <x v="29"/>
    <x v="16"/>
    <x v="48"/>
    <x v="158"/>
    <x v="47"/>
    <x v="258"/>
    <x v="101"/>
    <x v="205"/>
    <x v="1"/>
  </r>
  <r>
    <x v="0"/>
    <x v="18"/>
    <x v="18"/>
    <x v="20"/>
    <x v="20"/>
    <x v="20"/>
    <x v="17"/>
    <x v="49"/>
    <x v="141"/>
    <x v="63"/>
    <x v="200"/>
    <x v="57"/>
    <x v="29"/>
    <x v="1"/>
  </r>
  <r>
    <x v="0"/>
    <x v="18"/>
    <x v="18"/>
    <x v="21"/>
    <x v="21"/>
    <x v="21"/>
    <x v="18"/>
    <x v="92"/>
    <x v="159"/>
    <x v="45"/>
    <x v="126"/>
    <x v="50"/>
    <x v="219"/>
    <x v="1"/>
  </r>
  <r>
    <x v="0"/>
    <x v="18"/>
    <x v="18"/>
    <x v="47"/>
    <x v="47"/>
    <x v="47"/>
    <x v="18"/>
    <x v="92"/>
    <x v="159"/>
    <x v="26"/>
    <x v="238"/>
    <x v="86"/>
    <x v="164"/>
    <x v="1"/>
  </r>
  <r>
    <x v="0"/>
    <x v="19"/>
    <x v="19"/>
    <x v="0"/>
    <x v="0"/>
    <x v="0"/>
    <x v="0"/>
    <x v="163"/>
    <x v="191"/>
    <x v="107"/>
    <x v="261"/>
    <x v="78"/>
    <x v="23"/>
    <x v="1"/>
  </r>
  <r>
    <x v="0"/>
    <x v="19"/>
    <x v="19"/>
    <x v="2"/>
    <x v="2"/>
    <x v="2"/>
    <x v="1"/>
    <x v="161"/>
    <x v="192"/>
    <x v="130"/>
    <x v="157"/>
    <x v="101"/>
    <x v="220"/>
    <x v="1"/>
  </r>
  <r>
    <x v="0"/>
    <x v="19"/>
    <x v="19"/>
    <x v="12"/>
    <x v="12"/>
    <x v="12"/>
    <x v="2"/>
    <x v="153"/>
    <x v="193"/>
    <x v="59"/>
    <x v="262"/>
    <x v="49"/>
    <x v="221"/>
    <x v="1"/>
  </r>
  <r>
    <x v="0"/>
    <x v="19"/>
    <x v="19"/>
    <x v="6"/>
    <x v="6"/>
    <x v="6"/>
    <x v="3"/>
    <x v="76"/>
    <x v="40"/>
    <x v="59"/>
    <x v="262"/>
    <x v="66"/>
    <x v="118"/>
    <x v="1"/>
  </r>
  <r>
    <x v="0"/>
    <x v="19"/>
    <x v="19"/>
    <x v="1"/>
    <x v="1"/>
    <x v="1"/>
    <x v="4"/>
    <x v="164"/>
    <x v="162"/>
    <x v="96"/>
    <x v="93"/>
    <x v="62"/>
    <x v="33"/>
    <x v="1"/>
  </r>
  <r>
    <x v="0"/>
    <x v="19"/>
    <x v="19"/>
    <x v="5"/>
    <x v="5"/>
    <x v="5"/>
    <x v="4"/>
    <x v="164"/>
    <x v="162"/>
    <x v="82"/>
    <x v="263"/>
    <x v="47"/>
    <x v="222"/>
    <x v="1"/>
  </r>
  <r>
    <x v="0"/>
    <x v="19"/>
    <x v="19"/>
    <x v="8"/>
    <x v="8"/>
    <x v="8"/>
    <x v="6"/>
    <x v="80"/>
    <x v="194"/>
    <x v="49"/>
    <x v="264"/>
    <x v="83"/>
    <x v="223"/>
    <x v="1"/>
  </r>
  <r>
    <x v="0"/>
    <x v="19"/>
    <x v="19"/>
    <x v="11"/>
    <x v="11"/>
    <x v="11"/>
    <x v="7"/>
    <x v="91"/>
    <x v="24"/>
    <x v="35"/>
    <x v="194"/>
    <x v="40"/>
    <x v="224"/>
    <x v="1"/>
  </r>
  <r>
    <x v="0"/>
    <x v="19"/>
    <x v="19"/>
    <x v="14"/>
    <x v="14"/>
    <x v="14"/>
    <x v="8"/>
    <x v="86"/>
    <x v="133"/>
    <x v="123"/>
    <x v="265"/>
    <x v="57"/>
    <x v="39"/>
    <x v="1"/>
  </r>
  <r>
    <x v="0"/>
    <x v="19"/>
    <x v="19"/>
    <x v="9"/>
    <x v="9"/>
    <x v="9"/>
    <x v="9"/>
    <x v="81"/>
    <x v="45"/>
    <x v="71"/>
    <x v="186"/>
    <x v="61"/>
    <x v="73"/>
    <x v="1"/>
  </r>
  <r>
    <x v="0"/>
    <x v="19"/>
    <x v="19"/>
    <x v="3"/>
    <x v="3"/>
    <x v="3"/>
    <x v="10"/>
    <x v="65"/>
    <x v="139"/>
    <x v="131"/>
    <x v="175"/>
    <x v="44"/>
    <x v="225"/>
    <x v="1"/>
  </r>
  <r>
    <x v="0"/>
    <x v="19"/>
    <x v="19"/>
    <x v="4"/>
    <x v="4"/>
    <x v="4"/>
    <x v="11"/>
    <x v="41"/>
    <x v="168"/>
    <x v="123"/>
    <x v="265"/>
    <x v="51"/>
    <x v="101"/>
    <x v="1"/>
  </r>
  <r>
    <x v="0"/>
    <x v="19"/>
    <x v="19"/>
    <x v="10"/>
    <x v="10"/>
    <x v="10"/>
    <x v="12"/>
    <x v="82"/>
    <x v="70"/>
    <x v="30"/>
    <x v="266"/>
    <x v="49"/>
    <x v="221"/>
    <x v="1"/>
  </r>
  <r>
    <x v="0"/>
    <x v="19"/>
    <x v="19"/>
    <x v="30"/>
    <x v="30"/>
    <x v="30"/>
    <x v="13"/>
    <x v="89"/>
    <x v="60"/>
    <x v="35"/>
    <x v="194"/>
    <x v="72"/>
    <x v="126"/>
    <x v="1"/>
  </r>
  <r>
    <x v="0"/>
    <x v="19"/>
    <x v="19"/>
    <x v="17"/>
    <x v="17"/>
    <x v="17"/>
    <x v="14"/>
    <x v="43"/>
    <x v="13"/>
    <x v="42"/>
    <x v="267"/>
    <x v="43"/>
    <x v="59"/>
    <x v="1"/>
  </r>
  <r>
    <x v="0"/>
    <x v="19"/>
    <x v="19"/>
    <x v="25"/>
    <x v="25"/>
    <x v="25"/>
    <x v="14"/>
    <x v="43"/>
    <x v="13"/>
    <x v="91"/>
    <x v="119"/>
    <x v="62"/>
    <x v="33"/>
    <x v="1"/>
  </r>
  <r>
    <x v="0"/>
    <x v="19"/>
    <x v="19"/>
    <x v="15"/>
    <x v="15"/>
    <x v="15"/>
    <x v="14"/>
    <x v="43"/>
    <x v="13"/>
    <x v="47"/>
    <x v="36"/>
    <x v="72"/>
    <x v="126"/>
    <x v="1"/>
  </r>
  <r>
    <x v="0"/>
    <x v="19"/>
    <x v="19"/>
    <x v="47"/>
    <x v="47"/>
    <x v="47"/>
    <x v="14"/>
    <x v="43"/>
    <x v="13"/>
    <x v="72"/>
    <x v="234"/>
    <x v="47"/>
    <x v="222"/>
    <x v="1"/>
  </r>
  <r>
    <x v="0"/>
    <x v="19"/>
    <x v="19"/>
    <x v="7"/>
    <x v="7"/>
    <x v="7"/>
    <x v="18"/>
    <x v="95"/>
    <x v="171"/>
    <x v="44"/>
    <x v="56"/>
    <x v="48"/>
    <x v="219"/>
    <x v="1"/>
  </r>
  <r>
    <x v="0"/>
    <x v="19"/>
    <x v="19"/>
    <x v="18"/>
    <x v="18"/>
    <x v="18"/>
    <x v="18"/>
    <x v="95"/>
    <x v="171"/>
    <x v="30"/>
    <x v="266"/>
    <x v="90"/>
    <x v="226"/>
    <x v="1"/>
  </r>
  <r>
    <x v="0"/>
    <x v="20"/>
    <x v="20"/>
    <x v="0"/>
    <x v="0"/>
    <x v="0"/>
    <x v="0"/>
    <x v="107"/>
    <x v="195"/>
    <x v="132"/>
    <x v="268"/>
    <x v="52"/>
    <x v="227"/>
    <x v="1"/>
  </r>
  <r>
    <x v="0"/>
    <x v="20"/>
    <x v="20"/>
    <x v="1"/>
    <x v="1"/>
    <x v="1"/>
    <x v="1"/>
    <x v="74"/>
    <x v="73"/>
    <x v="95"/>
    <x v="269"/>
    <x v="83"/>
    <x v="228"/>
    <x v="1"/>
  </r>
  <r>
    <x v="0"/>
    <x v="20"/>
    <x v="20"/>
    <x v="2"/>
    <x v="2"/>
    <x v="2"/>
    <x v="2"/>
    <x v="165"/>
    <x v="196"/>
    <x v="54"/>
    <x v="270"/>
    <x v="101"/>
    <x v="194"/>
    <x v="1"/>
  </r>
  <r>
    <x v="0"/>
    <x v="20"/>
    <x v="20"/>
    <x v="6"/>
    <x v="6"/>
    <x v="6"/>
    <x v="3"/>
    <x v="60"/>
    <x v="197"/>
    <x v="88"/>
    <x v="271"/>
    <x v="41"/>
    <x v="39"/>
    <x v="1"/>
  </r>
  <r>
    <x v="0"/>
    <x v="20"/>
    <x v="20"/>
    <x v="4"/>
    <x v="4"/>
    <x v="4"/>
    <x v="4"/>
    <x v="61"/>
    <x v="198"/>
    <x v="68"/>
    <x v="20"/>
    <x v="90"/>
    <x v="111"/>
    <x v="1"/>
  </r>
  <r>
    <x v="0"/>
    <x v="20"/>
    <x v="20"/>
    <x v="3"/>
    <x v="3"/>
    <x v="3"/>
    <x v="5"/>
    <x v="62"/>
    <x v="199"/>
    <x v="52"/>
    <x v="272"/>
    <x v="90"/>
    <x v="111"/>
    <x v="1"/>
  </r>
  <r>
    <x v="0"/>
    <x v="20"/>
    <x v="20"/>
    <x v="5"/>
    <x v="5"/>
    <x v="5"/>
    <x v="6"/>
    <x v="91"/>
    <x v="200"/>
    <x v="83"/>
    <x v="273"/>
    <x v="57"/>
    <x v="10"/>
    <x v="1"/>
  </r>
  <r>
    <x v="0"/>
    <x v="20"/>
    <x v="20"/>
    <x v="10"/>
    <x v="10"/>
    <x v="10"/>
    <x v="7"/>
    <x v="87"/>
    <x v="201"/>
    <x v="78"/>
    <x v="274"/>
    <x v="62"/>
    <x v="9"/>
    <x v="1"/>
  </r>
  <r>
    <x v="0"/>
    <x v="20"/>
    <x v="20"/>
    <x v="11"/>
    <x v="11"/>
    <x v="11"/>
    <x v="8"/>
    <x v="82"/>
    <x v="25"/>
    <x v="61"/>
    <x v="185"/>
    <x v="50"/>
    <x v="229"/>
    <x v="1"/>
  </r>
  <r>
    <x v="0"/>
    <x v="20"/>
    <x v="20"/>
    <x v="14"/>
    <x v="14"/>
    <x v="14"/>
    <x v="8"/>
    <x v="82"/>
    <x v="25"/>
    <x v="90"/>
    <x v="259"/>
    <x v="72"/>
    <x v="230"/>
    <x v="1"/>
  </r>
  <r>
    <x v="0"/>
    <x v="20"/>
    <x v="20"/>
    <x v="15"/>
    <x v="15"/>
    <x v="15"/>
    <x v="10"/>
    <x v="88"/>
    <x v="167"/>
    <x v="78"/>
    <x v="274"/>
    <x v="52"/>
    <x v="227"/>
    <x v="1"/>
  </r>
  <r>
    <x v="0"/>
    <x v="20"/>
    <x v="20"/>
    <x v="12"/>
    <x v="12"/>
    <x v="12"/>
    <x v="11"/>
    <x v="69"/>
    <x v="81"/>
    <x v="71"/>
    <x v="86"/>
    <x v="62"/>
    <x v="9"/>
    <x v="1"/>
  </r>
  <r>
    <x v="0"/>
    <x v="20"/>
    <x v="20"/>
    <x v="29"/>
    <x v="29"/>
    <x v="29"/>
    <x v="11"/>
    <x v="69"/>
    <x v="81"/>
    <x v="73"/>
    <x v="275"/>
    <x v="44"/>
    <x v="42"/>
    <x v="1"/>
  </r>
  <r>
    <x v="0"/>
    <x v="20"/>
    <x v="20"/>
    <x v="28"/>
    <x v="28"/>
    <x v="28"/>
    <x v="13"/>
    <x v="44"/>
    <x v="169"/>
    <x v="45"/>
    <x v="44"/>
    <x v="40"/>
    <x v="231"/>
    <x v="1"/>
  </r>
  <r>
    <x v="0"/>
    <x v="20"/>
    <x v="20"/>
    <x v="18"/>
    <x v="18"/>
    <x v="18"/>
    <x v="13"/>
    <x v="44"/>
    <x v="169"/>
    <x v="26"/>
    <x v="276"/>
    <x v="66"/>
    <x v="206"/>
    <x v="1"/>
  </r>
  <r>
    <x v="0"/>
    <x v="20"/>
    <x v="20"/>
    <x v="17"/>
    <x v="17"/>
    <x v="17"/>
    <x v="15"/>
    <x v="95"/>
    <x v="31"/>
    <x v="42"/>
    <x v="40"/>
    <x v="96"/>
    <x v="232"/>
    <x v="1"/>
  </r>
  <r>
    <x v="0"/>
    <x v="20"/>
    <x v="20"/>
    <x v="8"/>
    <x v="8"/>
    <x v="8"/>
    <x v="15"/>
    <x v="95"/>
    <x v="31"/>
    <x v="62"/>
    <x v="277"/>
    <x v="45"/>
    <x v="233"/>
    <x v="1"/>
  </r>
  <r>
    <x v="0"/>
    <x v="20"/>
    <x v="20"/>
    <x v="9"/>
    <x v="9"/>
    <x v="9"/>
    <x v="17"/>
    <x v="45"/>
    <x v="13"/>
    <x v="62"/>
    <x v="277"/>
    <x v="62"/>
    <x v="9"/>
    <x v="1"/>
  </r>
  <r>
    <x v="0"/>
    <x v="20"/>
    <x v="20"/>
    <x v="19"/>
    <x v="19"/>
    <x v="19"/>
    <x v="17"/>
    <x v="45"/>
    <x v="13"/>
    <x v="50"/>
    <x v="9"/>
    <x v="49"/>
    <x v="234"/>
    <x v="1"/>
  </r>
  <r>
    <x v="0"/>
    <x v="20"/>
    <x v="20"/>
    <x v="7"/>
    <x v="7"/>
    <x v="7"/>
    <x v="17"/>
    <x v="45"/>
    <x v="13"/>
    <x v="42"/>
    <x v="40"/>
    <x v="46"/>
    <x v="103"/>
    <x v="1"/>
  </r>
  <r>
    <x v="0"/>
    <x v="21"/>
    <x v="21"/>
    <x v="0"/>
    <x v="0"/>
    <x v="0"/>
    <x v="0"/>
    <x v="166"/>
    <x v="202"/>
    <x v="121"/>
    <x v="278"/>
    <x v="78"/>
    <x v="49"/>
    <x v="1"/>
  </r>
  <r>
    <x v="0"/>
    <x v="21"/>
    <x v="21"/>
    <x v="4"/>
    <x v="4"/>
    <x v="4"/>
    <x v="1"/>
    <x v="162"/>
    <x v="203"/>
    <x v="124"/>
    <x v="279"/>
    <x v="90"/>
    <x v="192"/>
    <x v="1"/>
  </r>
  <r>
    <x v="0"/>
    <x v="21"/>
    <x v="21"/>
    <x v="2"/>
    <x v="2"/>
    <x v="2"/>
    <x v="2"/>
    <x v="85"/>
    <x v="161"/>
    <x v="133"/>
    <x v="280"/>
    <x v="51"/>
    <x v="54"/>
    <x v="1"/>
  </r>
  <r>
    <x v="0"/>
    <x v="21"/>
    <x v="21"/>
    <x v="6"/>
    <x v="6"/>
    <x v="6"/>
    <x v="3"/>
    <x v="76"/>
    <x v="86"/>
    <x v="92"/>
    <x v="281"/>
    <x v="78"/>
    <x v="49"/>
    <x v="1"/>
  </r>
  <r>
    <x v="0"/>
    <x v="21"/>
    <x v="21"/>
    <x v="3"/>
    <x v="3"/>
    <x v="3"/>
    <x v="4"/>
    <x v="110"/>
    <x v="138"/>
    <x v="70"/>
    <x v="282"/>
    <x v="90"/>
    <x v="192"/>
    <x v="1"/>
  </r>
  <r>
    <x v="0"/>
    <x v="21"/>
    <x v="21"/>
    <x v="5"/>
    <x v="5"/>
    <x v="5"/>
    <x v="5"/>
    <x v="62"/>
    <x v="193"/>
    <x v="92"/>
    <x v="281"/>
    <x v="52"/>
    <x v="203"/>
    <x v="1"/>
  </r>
  <r>
    <x v="0"/>
    <x v="21"/>
    <x v="21"/>
    <x v="1"/>
    <x v="1"/>
    <x v="1"/>
    <x v="6"/>
    <x v="78"/>
    <x v="204"/>
    <x v="47"/>
    <x v="283"/>
    <x v="61"/>
    <x v="156"/>
    <x v="1"/>
  </r>
  <r>
    <x v="0"/>
    <x v="21"/>
    <x v="21"/>
    <x v="12"/>
    <x v="12"/>
    <x v="12"/>
    <x v="7"/>
    <x v="91"/>
    <x v="148"/>
    <x v="47"/>
    <x v="283"/>
    <x v="96"/>
    <x v="160"/>
    <x v="1"/>
  </r>
  <r>
    <x v="0"/>
    <x v="21"/>
    <x v="21"/>
    <x v="11"/>
    <x v="11"/>
    <x v="11"/>
    <x v="8"/>
    <x v="86"/>
    <x v="6"/>
    <x v="39"/>
    <x v="284"/>
    <x v="43"/>
    <x v="235"/>
    <x v="1"/>
  </r>
  <r>
    <x v="0"/>
    <x v="21"/>
    <x v="21"/>
    <x v="14"/>
    <x v="14"/>
    <x v="14"/>
    <x v="9"/>
    <x v="40"/>
    <x v="43"/>
    <x v="79"/>
    <x v="285"/>
    <x v="77"/>
    <x v="121"/>
    <x v="1"/>
  </r>
  <r>
    <x v="0"/>
    <x v="21"/>
    <x v="21"/>
    <x v="9"/>
    <x v="9"/>
    <x v="9"/>
    <x v="10"/>
    <x v="66"/>
    <x v="117"/>
    <x v="44"/>
    <x v="277"/>
    <x v="63"/>
    <x v="127"/>
    <x v="1"/>
  </r>
  <r>
    <x v="0"/>
    <x v="21"/>
    <x v="21"/>
    <x v="10"/>
    <x v="10"/>
    <x v="10"/>
    <x v="11"/>
    <x v="68"/>
    <x v="104"/>
    <x v="61"/>
    <x v="237"/>
    <x v="52"/>
    <x v="203"/>
    <x v="1"/>
  </r>
  <r>
    <x v="0"/>
    <x v="21"/>
    <x v="21"/>
    <x v="28"/>
    <x v="28"/>
    <x v="28"/>
    <x v="12"/>
    <x v="43"/>
    <x v="30"/>
    <x v="50"/>
    <x v="244"/>
    <x v="64"/>
    <x v="105"/>
    <x v="1"/>
  </r>
  <r>
    <x v="0"/>
    <x v="21"/>
    <x v="21"/>
    <x v="20"/>
    <x v="20"/>
    <x v="20"/>
    <x v="13"/>
    <x v="44"/>
    <x v="169"/>
    <x v="50"/>
    <x v="244"/>
    <x v="62"/>
    <x v="47"/>
    <x v="1"/>
  </r>
  <r>
    <x v="0"/>
    <x v="21"/>
    <x v="21"/>
    <x v="17"/>
    <x v="17"/>
    <x v="17"/>
    <x v="14"/>
    <x v="45"/>
    <x v="14"/>
    <x v="46"/>
    <x v="76"/>
    <x v="96"/>
    <x v="160"/>
    <x v="1"/>
  </r>
  <r>
    <x v="0"/>
    <x v="21"/>
    <x v="21"/>
    <x v="8"/>
    <x v="8"/>
    <x v="8"/>
    <x v="14"/>
    <x v="45"/>
    <x v="14"/>
    <x v="44"/>
    <x v="277"/>
    <x v="45"/>
    <x v="109"/>
    <x v="1"/>
  </r>
  <r>
    <x v="0"/>
    <x v="21"/>
    <x v="21"/>
    <x v="15"/>
    <x v="15"/>
    <x v="15"/>
    <x v="16"/>
    <x v="46"/>
    <x v="158"/>
    <x v="26"/>
    <x v="286"/>
    <x v="72"/>
    <x v="15"/>
    <x v="1"/>
  </r>
  <r>
    <x v="0"/>
    <x v="21"/>
    <x v="21"/>
    <x v="16"/>
    <x v="16"/>
    <x v="16"/>
    <x v="17"/>
    <x v="47"/>
    <x v="141"/>
    <x v="42"/>
    <x v="80"/>
    <x v="64"/>
    <x v="105"/>
    <x v="1"/>
  </r>
  <r>
    <x v="0"/>
    <x v="21"/>
    <x v="21"/>
    <x v="30"/>
    <x v="30"/>
    <x v="30"/>
    <x v="17"/>
    <x v="47"/>
    <x v="141"/>
    <x v="63"/>
    <x v="287"/>
    <x v="66"/>
    <x v="60"/>
    <x v="1"/>
  </r>
  <r>
    <x v="0"/>
    <x v="21"/>
    <x v="21"/>
    <x v="25"/>
    <x v="25"/>
    <x v="25"/>
    <x v="19"/>
    <x v="49"/>
    <x v="36"/>
    <x v="62"/>
    <x v="37"/>
    <x v="53"/>
    <x v="12"/>
    <x v="1"/>
  </r>
  <r>
    <x v="0"/>
    <x v="21"/>
    <x v="21"/>
    <x v="48"/>
    <x v="48"/>
    <x v="48"/>
    <x v="19"/>
    <x v="49"/>
    <x v="36"/>
    <x v="26"/>
    <x v="286"/>
    <x v="47"/>
    <x v="133"/>
    <x v="1"/>
  </r>
  <r>
    <x v="0"/>
    <x v="21"/>
    <x v="21"/>
    <x v="35"/>
    <x v="35"/>
    <x v="35"/>
    <x v="19"/>
    <x v="49"/>
    <x v="36"/>
    <x v="39"/>
    <x v="284"/>
    <x v="86"/>
    <x v="215"/>
    <x v="1"/>
  </r>
  <r>
    <x v="0"/>
    <x v="22"/>
    <x v="22"/>
    <x v="0"/>
    <x v="0"/>
    <x v="0"/>
    <x v="0"/>
    <x v="167"/>
    <x v="205"/>
    <x v="134"/>
    <x v="288"/>
    <x v="84"/>
    <x v="21"/>
    <x v="1"/>
  </r>
  <r>
    <x v="0"/>
    <x v="22"/>
    <x v="22"/>
    <x v="2"/>
    <x v="2"/>
    <x v="2"/>
    <x v="1"/>
    <x v="168"/>
    <x v="206"/>
    <x v="19"/>
    <x v="289"/>
    <x v="90"/>
    <x v="208"/>
    <x v="1"/>
  </r>
  <r>
    <x v="0"/>
    <x v="22"/>
    <x v="22"/>
    <x v="4"/>
    <x v="4"/>
    <x v="4"/>
    <x v="2"/>
    <x v="70"/>
    <x v="207"/>
    <x v="135"/>
    <x v="290"/>
    <x v="90"/>
    <x v="208"/>
    <x v="1"/>
  </r>
  <r>
    <x v="0"/>
    <x v="22"/>
    <x v="22"/>
    <x v="1"/>
    <x v="1"/>
    <x v="1"/>
    <x v="3"/>
    <x v="169"/>
    <x v="208"/>
    <x v="136"/>
    <x v="47"/>
    <x v="126"/>
    <x v="38"/>
    <x v="1"/>
  </r>
  <r>
    <x v="0"/>
    <x v="22"/>
    <x v="22"/>
    <x v="3"/>
    <x v="3"/>
    <x v="3"/>
    <x v="4"/>
    <x v="170"/>
    <x v="209"/>
    <x v="137"/>
    <x v="291"/>
    <x v="78"/>
    <x v="164"/>
    <x v="1"/>
  </r>
  <r>
    <x v="0"/>
    <x v="22"/>
    <x v="22"/>
    <x v="5"/>
    <x v="5"/>
    <x v="5"/>
    <x v="5"/>
    <x v="98"/>
    <x v="210"/>
    <x v="109"/>
    <x v="292"/>
    <x v="61"/>
    <x v="236"/>
    <x v="1"/>
  </r>
  <r>
    <x v="0"/>
    <x v="22"/>
    <x v="22"/>
    <x v="6"/>
    <x v="6"/>
    <x v="6"/>
    <x v="6"/>
    <x v="163"/>
    <x v="211"/>
    <x v="103"/>
    <x v="182"/>
    <x v="77"/>
    <x v="58"/>
    <x v="1"/>
  </r>
  <r>
    <x v="0"/>
    <x v="22"/>
    <x v="22"/>
    <x v="7"/>
    <x v="7"/>
    <x v="7"/>
    <x v="7"/>
    <x v="58"/>
    <x v="59"/>
    <x v="66"/>
    <x v="8"/>
    <x v="24"/>
    <x v="90"/>
    <x v="1"/>
  </r>
  <r>
    <x v="0"/>
    <x v="22"/>
    <x v="22"/>
    <x v="11"/>
    <x v="11"/>
    <x v="11"/>
    <x v="8"/>
    <x v="171"/>
    <x v="8"/>
    <x v="79"/>
    <x v="55"/>
    <x v="71"/>
    <x v="17"/>
    <x v="1"/>
  </r>
  <r>
    <x v="0"/>
    <x v="22"/>
    <x v="22"/>
    <x v="28"/>
    <x v="28"/>
    <x v="28"/>
    <x v="8"/>
    <x v="171"/>
    <x v="8"/>
    <x v="78"/>
    <x v="293"/>
    <x v="102"/>
    <x v="204"/>
    <x v="1"/>
  </r>
  <r>
    <x v="0"/>
    <x v="22"/>
    <x v="22"/>
    <x v="14"/>
    <x v="14"/>
    <x v="14"/>
    <x v="10"/>
    <x v="165"/>
    <x v="29"/>
    <x v="82"/>
    <x v="185"/>
    <x v="64"/>
    <x v="74"/>
    <x v="1"/>
  </r>
  <r>
    <x v="0"/>
    <x v="22"/>
    <x v="22"/>
    <x v="10"/>
    <x v="10"/>
    <x v="10"/>
    <x v="11"/>
    <x v="150"/>
    <x v="212"/>
    <x v="123"/>
    <x v="294"/>
    <x v="88"/>
    <x v="206"/>
    <x v="1"/>
  </r>
  <r>
    <x v="0"/>
    <x v="22"/>
    <x v="22"/>
    <x v="12"/>
    <x v="12"/>
    <x v="12"/>
    <x v="12"/>
    <x v="85"/>
    <x v="48"/>
    <x v="73"/>
    <x v="295"/>
    <x v="69"/>
    <x v="181"/>
    <x v="1"/>
  </r>
  <r>
    <x v="0"/>
    <x v="22"/>
    <x v="22"/>
    <x v="16"/>
    <x v="16"/>
    <x v="16"/>
    <x v="13"/>
    <x v="133"/>
    <x v="11"/>
    <x v="62"/>
    <x v="296"/>
    <x v="95"/>
    <x v="237"/>
    <x v="1"/>
  </r>
  <r>
    <x v="0"/>
    <x v="22"/>
    <x v="22"/>
    <x v="20"/>
    <x v="20"/>
    <x v="20"/>
    <x v="14"/>
    <x v="61"/>
    <x v="12"/>
    <x v="26"/>
    <x v="297"/>
    <x v="81"/>
    <x v="19"/>
    <x v="1"/>
  </r>
  <r>
    <x v="0"/>
    <x v="22"/>
    <x v="22"/>
    <x v="18"/>
    <x v="18"/>
    <x v="18"/>
    <x v="14"/>
    <x v="61"/>
    <x v="12"/>
    <x v="84"/>
    <x v="38"/>
    <x v="82"/>
    <x v="29"/>
    <x v="1"/>
  </r>
  <r>
    <x v="0"/>
    <x v="22"/>
    <x v="22"/>
    <x v="15"/>
    <x v="15"/>
    <x v="15"/>
    <x v="16"/>
    <x v="105"/>
    <x v="13"/>
    <x v="111"/>
    <x v="298"/>
    <x v="50"/>
    <x v="238"/>
    <x v="1"/>
  </r>
  <r>
    <x v="0"/>
    <x v="22"/>
    <x v="22"/>
    <x v="21"/>
    <x v="21"/>
    <x v="21"/>
    <x v="17"/>
    <x v="110"/>
    <x v="94"/>
    <x v="49"/>
    <x v="299"/>
    <x v="81"/>
    <x v="19"/>
    <x v="1"/>
  </r>
  <r>
    <x v="0"/>
    <x v="22"/>
    <x v="22"/>
    <x v="8"/>
    <x v="8"/>
    <x v="8"/>
    <x v="18"/>
    <x v="62"/>
    <x v="170"/>
    <x v="71"/>
    <x v="150"/>
    <x v="71"/>
    <x v="17"/>
    <x v="1"/>
  </r>
  <r>
    <x v="0"/>
    <x v="22"/>
    <x v="22"/>
    <x v="30"/>
    <x v="30"/>
    <x v="30"/>
    <x v="19"/>
    <x v="78"/>
    <x v="142"/>
    <x v="118"/>
    <x v="300"/>
    <x v="77"/>
    <x v="58"/>
    <x v="1"/>
  </r>
  <r>
    <x v="0"/>
    <x v="23"/>
    <x v="23"/>
    <x v="0"/>
    <x v="0"/>
    <x v="0"/>
    <x v="0"/>
    <x v="172"/>
    <x v="182"/>
    <x v="108"/>
    <x v="301"/>
    <x v="87"/>
    <x v="31"/>
    <x v="1"/>
  </r>
  <r>
    <x v="0"/>
    <x v="23"/>
    <x v="23"/>
    <x v="1"/>
    <x v="1"/>
    <x v="1"/>
    <x v="1"/>
    <x v="124"/>
    <x v="183"/>
    <x v="56"/>
    <x v="263"/>
    <x v="100"/>
    <x v="239"/>
    <x v="1"/>
  </r>
  <r>
    <x v="0"/>
    <x v="23"/>
    <x v="23"/>
    <x v="2"/>
    <x v="2"/>
    <x v="2"/>
    <x v="2"/>
    <x v="73"/>
    <x v="213"/>
    <x v="138"/>
    <x v="302"/>
    <x v="41"/>
    <x v="240"/>
    <x v="1"/>
  </r>
  <r>
    <x v="0"/>
    <x v="23"/>
    <x v="23"/>
    <x v="5"/>
    <x v="5"/>
    <x v="5"/>
    <x v="3"/>
    <x v="126"/>
    <x v="214"/>
    <x v="94"/>
    <x v="303"/>
    <x v="52"/>
    <x v="169"/>
    <x v="0"/>
  </r>
  <r>
    <x v="0"/>
    <x v="23"/>
    <x v="23"/>
    <x v="3"/>
    <x v="3"/>
    <x v="3"/>
    <x v="4"/>
    <x v="161"/>
    <x v="53"/>
    <x v="139"/>
    <x v="69"/>
    <x v="57"/>
    <x v="182"/>
    <x v="1"/>
  </r>
  <r>
    <x v="0"/>
    <x v="23"/>
    <x v="23"/>
    <x v="4"/>
    <x v="4"/>
    <x v="4"/>
    <x v="5"/>
    <x v="74"/>
    <x v="98"/>
    <x v="139"/>
    <x v="69"/>
    <x v="51"/>
    <x v="107"/>
    <x v="1"/>
  </r>
  <r>
    <x v="0"/>
    <x v="23"/>
    <x v="23"/>
    <x v="6"/>
    <x v="6"/>
    <x v="6"/>
    <x v="6"/>
    <x v="162"/>
    <x v="215"/>
    <x v="37"/>
    <x v="304"/>
    <x v="52"/>
    <x v="169"/>
    <x v="1"/>
  </r>
  <r>
    <x v="0"/>
    <x v="23"/>
    <x v="23"/>
    <x v="15"/>
    <x v="15"/>
    <x v="15"/>
    <x v="7"/>
    <x v="133"/>
    <x v="156"/>
    <x v="118"/>
    <x v="305"/>
    <x v="64"/>
    <x v="193"/>
    <x v="1"/>
  </r>
  <r>
    <x v="0"/>
    <x v="23"/>
    <x v="23"/>
    <x v="9"/>
    <x v="9"/>
    <x v="9"/>
    <x v="8"/>
    <x v="173"/>
    <x v="216"/>
    <x v="57"/>
    <x v="135"/>
    <x v="100"/>
    <x v="239"/>
    <x v="1"/>
  </r>
  <r>
    <x v="0"/>
    <x v="23"/>
    <x v="23"/>
    <x v="11"/>
    <x v="11"/>
    <x v="11"/>
    <x v="9"/>
    <x v="110"/>
    <x v="88"/>
    <x v="78"/>
    <x v="10"/>
    <x v="42"/>
    <x v="241"/>
    <x v="1"/>
  </r>
  <r>
    <x v="0"/>
    <x v="23"/>
    <x v="23"/>
    <x v="7"/>
    <x v="7"/>
    <x v="7"/>
    <x v="10"/>
    <x v="78"/>
    <x v="7"/>
    <x v="57"/>
    <x v="135"/>
    <x v="73"/>
    <x v="242"/>
    <x v="1"/>
  </r>
  <r>
    <x v="0"/>
    <x v="23"/>
    <x v="23"/>
    <x v="21"/>
    <x v="21"/>
    <x v="21"/>
    <x v="11"/>
    <x v="65"/>
    <x v="30"/>
    <x v="63"/>
    <x v="119"/>
    <x v="63"/>
    <x v="115"/>
    <x v="1"/>
  </r>
  <r>
    <x v="0"/>
    <x v="23"/>
    <x v="23"/>
    <x v="30"/>
    <x v="30"/>
    <x v="30"/>
    <x v="11"/>
    <x v="65"/>
    <x v="30"/>
    <x v="79"/>
    <x v="306"/>
    <x v="53"/>
    <x v="230"/>
    <x v="1"/>
  </r>
  <r>
    <x v="0"/>
    <x v="23"/>
    <x v="23"/>
    <x v="8"/>
    <x v="8"/>
    <x v="8"/>
    <x v="13"/>
    <x v="41"/>
    <x v="48"/>
    <x v="63"/>
    <x v="119"/>
    <x v="84"/>
    <x v="66"/>
    <x v="1"/>
  </r>
  <r>
    <x v="0"/>
    <x v="23"/>
    <x v="23"/>
    <x v="16"/>
    <x v="16"/>
    <x v="16"/>
    <x v="14"/>
    <x v="82"/>
    <x v="106"/>
    <x v="48"/>
    <x v="80"/>
    <x v="92"/>
    <x v="243"/>
    <x v="1"/>
  </r>
  <r>
    <x v="0"/>
    <x v="23"/>
    <x v="23"/>
    <x v="17"/>
    <x v="17"/>
    <x v="17"/>
    <x v="15"/>
    <x v="83"/>
    <x v="11"/>
    <x v="58"/>
    <x v="307"/>
    <x v="83"/>
    <x v="244"/>
    <x v="1"/>
  </r>
  <r>
    <x v="0"/>
    <x v="23"/>
    <x v="23"/>
    <x v="20"/>
    <x v="20"/>
    <x v="20"/>
    <x v="15"/>
    <x v="83"/>
    <x v="11"/>
    <x v="91"/>
    <x v="186"/>
    <x v="82"/>
    <x v="64"/>
    <x v="1"/>
  </r>
  <r>
    <x v="0"/>
    <x v="23"/>
    <x v="23"/>
    <x v="14"/>
    <x v="14"/>
    <x v="14"/>
    <x v="17"/>
    <x v="88"/>
    <x v="13"/>
    <x v="30"/>
    <x v="18"/>
    <x v="50"/>
    <x v="139"/>
    <x v="1"/>
  </r>
  <r>
    <x v="0"/>
    <x v="23"/>
    <x v="23"/>
    <x v="18"/>
    <x v="18"/>
    <x v="18"/>
    <x v="18"/>
    <x v="66"/>
    <x v="32"/>
    <x v="81"/>
    <x v="225"/>
    <x v="87"/>
    <x v="31"/>
    <x v="1"/>
  </r>
  <r>
    <x v="0"/>
    <x v="23"/>
    <x v="23"/>
    <x v="10"/>
    <x v="10"/>
    <x v="10"/>
    <x v="19"/>
    <x v="67"/>
    <x v="33"/>
    <x v="81"/>
    <x v="225"/>
    <x v="50"/>
    <x v="139"/>
    <x v="1"/>
  </r>
  <r>
    <x v="0"/>
    <x v="24"/>
    <x v="24"/>
    <x v="0"/>
    <x v="0"/>
    <x v="0"/>
    <x v="0"/>
    <x v="78"/>
    <x v="217"/>
    <x v="56"/>
    <x v="308"/>
    <x v="89"/>
    <x v="53"/>
    <x v="1"/>
  </r>
  <r>
    <x v="0"/>
    <x v="24"/>
    <x v="24"/>
    <x v="45"/>
    <x v="45"/>
    <x v="45"/>
    <x v="1"/>
    <x v="86"/>
    <x v="218"/>
    <x v="81"/>
    <x v="93"/>
    <x v="84"/>
    <x v="245"/>
    <x v="1"/>
  </r>
  <r>
    <x v="0"/>
    <x v="24"/>
    <x v="24"/>
    <x v="2"/>
    <x v="2"/>
    <x v="2"/>
    <x v="2"/>
    <x v="81"/>
    <x v="219"/>
    <x v="77"/>
    <x v="309"/>
    <x v="44"/>
    <x v="145"/>
    <x v="1"/>
  </r>
  <r>
    <x v="0"/>
    <x v="24"/>
    <x v="24"/>
    <x v="12"/>
    <x v="12"/>
    <x v="12"/>
    <x v="3"/>
    <x v="42"/>
    <x v="77"/>
    <x v="30"/>
    <x v="310"/>
    <x v="52"/>
    <x v="246"/>
    <x v="1"/>
  </r>
  <r>
    <x v="0"/>
    <x v="24"/>
    <x v="24"/>
    <x v="11"/>
    <x v="11"/>
    <x v="11"/>
    <x v="4"/>
    <x v="69"/>
    <x v="65"/>
    <x v="39"/>
    <x v="311"/>
    <x v="66"/>
    <x v="46"/>
    <x v="1"/>
  </r>
  <r>
    <x v="0"/>
    <x v="24"/>
    <x v="24"/>
    <x v="1"/>
    <x v="1"/>
    <x v="1"/>
    <x v="4"/>
    <x v="69"/>
    <x v="65"/>
    <x v="80"/>
    <x v="202"/>
    <x v="50"/>
    <x v="247"/>
    <x v="1"/>
  </r>
  <r>
    <x v="0"/>
    <x v="24"/>
    <x v="24"/>
    <x v="6"/>
    <x v="6"/>
    <x v="6"/>
    <x v="4"/>
    <x v="69"/>
    <x v="65"/>
    <x v="79"/>
    <x v="312"/>
    <x v="89"/>
    <x v="53"/>
    <x v="1"/>
  </r>
  <r>
    <x v="0"/>
    <x v="24"/>
    <x v="24"/>
    <x v="31"/>
    <x v="31"/>
    <x v="31"/>
    <x v="7"/>
    <x v="92"/>
    <x v="79"/>
    <x v="48"/>
    <x v="126"/>
    <x v="49"/>
    <x v="248"/>
    <x v="1"/>
  </r>
  <r>
    <x v="0"/>
    <x v="24"/>
    <x v="24"/>
    <x v="4"/>
    <x v="4"/>
    <x v="4"/>
    <x v="7"/>
    <x v="92"/>
    <x v="79"/>
    <x v="120"/>
    <x v="313"/>
    <x v="101"/>
    <x v="167"/>
    <x v="1"/>
  </r>
  <r>
    <x v="0"/>
    <x v="24"/>
    <x v="24"/>
    <x v="3"/>
    <x v="3"/>
    <x v="3"/>
    <x v="7"/>
    <x v="92"/>
    <x v="79"/>
    <x v="30"/>
    <x v="310"/>
    <x v="44"/>
    <x v="145"/>
    <x v="1"/>
  </r>
  <r>
    <x v="0"/>
    <x v="24"/>
    <x v="24"/>
    <x v="47"/>
    <x v="47"/>
    <x v="47"/>
    <x v="10"/>
    <x v="51"/>
    <x v="91"/>
    <x v="26"/>
    <x v="314"/>
    <x v="89"/>
    <x v="53"/>
    <x v="1"/>
  </r>
  <r>
    <x v="0"/>
    <x v="24"/>
    <x v="24"/>
    <x v="7"/>
    <x v="7"/>
    <x v="7"/>
    <x v="11"/>
    <x v="53"/>
    <x v="60"/>
    <x v="41"/>
    <x v="315"/>
    <x v="87"/>
    <x v="7"/>
    <x v="1"/>
  </r>
  <r>
    <x v="0"/>
    <x v="24"/>
    <x v="24"/>
    <x v="5"/>
    <x v="5"/>
    <x v="5"/>
    <x v="11"/>
    <x v="53"/>
    <x v="60"/>
    <x v="66"/>
    <x v="30"/>
    <x v="89"/>
    <x v="53"/>
    <x v="1"/>
  </r>
  <r>
    <x v="0"/>
    <x v="24"/>
    <x v="24"/>
    <x v="17"/>
    <x v="17"/>
    <x v="17"/>
    <x v="13"/>
    <x v="54"/>
    <x v="118"/>
    <x v="58"/>
    <x v="168"/>
    <x v="66"/>
    <x v="46"/>
    <x v="1"/>
  </r>
  <r>
    <x v="0"/>
    <x v="24"/>
    <x v="24"/>
    <x v="46"/>
    <x v="46"/>
    <x v="46"/>
    <x v="13"/>
    <x v="54"/>
    <x v="118"/>
    <x v="62"/>
    <x v="123"/>
    <x v="72"/>
    <x v="158"/>
    <x v="1"/>
  </r>
  <r>
    <x v="0"/>
    <x v="24"/>
    <x v="24"/>
    <x v="10"/>
    <x v="10"/>
    <x v="10"/>
    <x v="13"/>
    <x v="54"/>
    <x v="118"/>
    <x v="63"/>
    <x v="316"/>
    <x v="51"/>
    <x v="44"/>
    <x v="1"/>
  </r>
  <r>
    <x v="0"/>
    <x v="24"/>
    <x v="24"/>
    <x v="18"/>
    <x v="18"/>
    <x v="18"/>
    <x v="13"/>
    <x v="54"/>
    <x v="118"/>
    <x v="91"/>
    <x v="317"/>
    <x v="86"/>
    <x v="249"/>
    <x v="1"/>
  </r>
  <r>
    <x v="0"/>
    <x v="24"/>
    <x v="24"/>
    <x v="9"/>
    <x v="9"/>
    <x v="9"/>
    <x v="17"/>
    <x v="55"/>
    <x v="33"/>
    <x v="45"/>
    <x v="201"/>
    <x v="57"/>
    <x v="117"/>
    <x v="1"/>
  </r>
  <r>
    <x v="0"/>
    <x v="24"/>
    <x v="24"/>
    <x v="28"/>
    <x v="28"/>
    <x v="28"/>
    <x v="17"/>
    <x v="55"/>
    <x v="33"/>
    <x v="44"/>
    <x v="318"/>
    <x v="72"/>
    <x v="158"/>
    <x v="1"/>
  </r>
  <r>
    <x v="0"/>
    <x v="24"/>
    <x v="24"/>
    <x v="33"/>
    <x v="33"/>
    <x v="33"/>
    <x v="17"/>
    <x v="55"/>
    <x v="33"/>
    <x v="66"/>
    <x v="30"/>
    <x v="44"/>
    <x v="145"/>
    <x v="1"/>
  </r>
  <r>
    <x v="0"/>
    <x v="24"/>
    <x v="24"/>
    <x v="14"/>
    <x v="14"/>
    <x v="14"/>
    <x v="17"/>
    <x v="55"/>
    <x v="33"/>
    <x v="91"/>
    <x v="317"/>
    <x v="51"/>
    <x v="44"/>
    <x v="1"/>
  </r>
  <r>
    <x v="0"/>
    <x v="25"/>
    <x v="25"/>
    <x v="0"/>
    <x v="0"/>
    <x v="0"/>
    <x v="0"/>
    <x v="56"/>
    <x v="220"/>
    <x v="107"/>
    <x v="319"/>
    <x v="53"/>
    <x v="250"/>
    <x v="1"/>
  </r>
  <r>
    <x v="0"/>
    <x v="25"/>
    <x v="25"/>
    <x v="1"/>
    <x v="1"/>
    <x v="1"/>
    <x v="1"/>
    <x v="109"/>
    <x v="221"/>
    <x v="68"/>
    <x v="72"/>
    <x v="46"/>
    <x v="96"/>
    <x v="1"/>
  </r>
  <r>
    <x v="0"/>
    <x v="25"/>
    <x v="25"/>
    <x v="2"/>
    <x v="2"/>
    <x v="2"/>
    <x v="2"/>
    <x v="58"/>
    <x v="222"/>
    <x v="140"/>
    <x v="320"/>
    <x v="86"/>
    <x v="100"/>
    <x v="1"/>
  </r>
  <r>
    <x v="0"/>
    <x v="25"/>
    <x v="25"/>
    <x v="3"/>
    <x v="3"/>
    <x v="3"/>
    <x v="3"/>
    <x v="80"/>
    <x v="41"/>
    <x v="77"/>
    <x v="321"/>
    <x v="90"/>
    <x v="251"/>
    <x v="1"/>
  </r>
  <r>
    <x v="0"/>
    <x v="25"/>
    <x v="25"/>
    <x v="5"/>
    <x v="5"/>
    <x v="5"/>
    <x v="4"/>
    <x v="81"/>
    <x v="223"/>
    <x v="34"/>
    <x v="322"/>
    <x v="57"/>
    <x v="252"/>
    <x v="1"/>
  </r>
  <r>
    <x v="0"/>
    <x v="25"/>
    <x v="25"/>
    <x v="21"/>
    <x v="21"/>
    <x v="21"/>
    <x v="5"/>
    <x v="82"/>
    <x v="26"/>
    <x v="45"/>
    <x v="126"/>
    <x v="83"/>
    <x v="253"/>
    <x v="1"/>
  </r>
  <r>
    <x v="0"/>
    <x v="25"/>
    <x v="25"/>
    <x v="11"/>
    <x v="11"/>
    <x v="11"/>
    <x v="5"/>
    <x v="82"/>
    <x v="26"/>
    <x v="30"/>
    <x v="323"/>
    <x v="49"/>
    <x v="81"/>
    <x v="1"/>
  </r>
  <r>
    <x v="0"/>
    <x v="25"/>
    <x v="25"/>
    <x v="14"/>
    <x v="14"/>
    <x v="14"/>
    <x v="5"/>
    <x v="82"/>
    <x v="26"/>
    <x v="30"/>
    <x v="323"/>
    <x v="49"/>
    <x v="81"/>
    <x v="1"/>
  </r>
  <r>
    <x v="0"/>
    <x v="25"/>
    <x v="25"/>
    <x v="10"/>
    <x v="10"/>
    <x v="10"/>
    <x v="8"/>
    <x v="66"/>
    <x v="168"/>
    <x v="26"/>
    <x v="203"/>
    <x v="62"/>
    <x v="254"/>
    <x v="1"/>
  </r>
  <r>
    <x v="0"/>
    <x v="25"/>
    <x v="25"/>
    <x v="6"/>
    <x v="6"/>
    <x v="6"/>
    <x v="8"/>
    <x v="66"/>
    <x v="168"/>
    <x v="40"/>
    <x v="324"/>
    <x v="51"/>
    <x v="255"/>
    <x v="1"/>
  </r>
  <r>
    <x v="0"/>
    <x v="25"/>
    <x v="25"/>
    <x v="28"/>
    <x v="28"/>
    <x v="28"/>
    <x v="10"/>
    <x v="67"/>
    <x v="104"/>
    <x v="49"/>
    <x v="325"/>
    <x v="62"/>
    <x v="254"/>
    <x v="1"/>
  </r>
  <r>
    <x v="0"/>
    <x v="25"/>
    <x v="25"/>
    <x v="4"/>
    <x v="4"/>
    <x v="4"/>
    <x v="11"/>
    <x v="68"/>
    <x v="127"/>
    <x v="32"/>
    <x v="99"/>
    <x v="89"/>
    <x v="256"/>
    <x v="1"/>
  </r>
  <r>
    <x v="0"/>
    <x v="25"/>
    <x v="25"/>
    <x v="33"/>
    <x v="33"/>
    <x v="33"/>
    <x v="12"/>
    <x v="42"/>
    <x v="30"/>
    <x v="90"/>
    <x v="236"/>
    <x v="101"/>
    <x v="257"/>
    <x v="1"/>
  </r>
  <r>
    <x v="0"/>
    <x v="25"/>
    <x v="25"/>
    <x v="12"/>
    <x v="12"/>
    <x v="12"/>
    <x v="13"/>
    <x v="43"/>
    <x v="105"/>
    <x v="80"/>
    <x v="326"/>
    <x v="87"/>
    <x v="76"/>
    <x v="1"/>
  </r>
  <r>
    <x v="0"/>
    <x v="25"/>
    <x v="25"/>
    <x v="16"/>
    <x v="16"/>
    <x v="16"/>
    <x v="14"/>
    <x v="69"/>
    <x v="169"/>
    <x v="62"/>
    <x v="159"/>
    <x v="64"/>
    <x v="46"/>
    <x v="1"/>
  </r>
  <r>
    <x v="0"/>
    <x v="25"/>
    <x v="25"/>
    <x v="18"/>
    <x v="18"/>
    <x v="18"/>
    <x v="14"/>
    <x v="69"/>
    <x v="169"/>
    <x v="26"/>
    <x v="203"/>
    <x v="78"/>
    <x v="65"/>
    <x v="1"/>
  </r>
  <r>
    <x v="0"/>
    <x v="25"/>
    <x v="25"/>
    <x v="22"/>
    <x v="22"/>
    <x v="22"/>
    <x v="14"/>
    <x v="69"/>
    <x v="169"/>
    <x v="78"/>
    <x v="81"/>
    <x v="51"/>
    <x v="255"/>
    <x v="1"/>
  </r>
  <r>
    <x v="0"/>
    <x v="25"/>
    <x v="25"/>
    <x v="7"/>
    <x v="7"/>
    <x v="7"/>
    <x v="17"/>
    <x v="44"/>
    <x v="31"/>
    <x v="58"/>
    <x v="327"/>
    <x v="46"/>
    <x v="96"/>
    <x v="1"/>
  </r>
  <r>
    <x v="0"/>
    <x v="25"/>
    <x v="25"/>
    <x v="9"/>
    <x v="9"/>
    <x v="9"/>
    <x v="18"/>
    <x v="95"/>
    <x v="13"/>
    <x v="44"/>
    <x v="299"/>
    <x v="48"/>
    <x v="16"/>
    <x v="1"/>
  </r>
  <r>
    <x v="0"/>
    <x v="25"/>
    <x v="25"/>
    <x v="15"/>
    <x v="15"/>
    <x v="15"/>
    <x v="18"/>
    <x v="95"/>
    <x v="13"/>
    <x v="120"/>
    <x v="328"/>
    <x v="41"/>
    <x v="210"/>
    <x v="1"/>
  </r>
  <r>
    <x v="0"/>
    <x v="26"/>
    <x v="26"/>
    <x v="0"/>
    <x v="0"/>
    <x v="0"/>
    <x v="0"/>
    <x v="144"/>
    <x v="224"/>
    <x v="141"/>
    <x v="329"/>
    <x v="48"/>
    <x v="258"/>
    <x v="1"/>
  </r>
  <r>
    <x v="0"/>
    <x v="26"/>
    <x v="26"/>
    <x v="2"/>
    <x v="2"/>
    <x v="2"/>
    <x v="1"/>
    <x v="174"/>
    <x v="225"/>
    <x v="136"/>
    <x v="330"/>
    <x v="51"/>
    <x v="256"/>
    <x v="1"/>
  </r>
  <r>
    <x v="0"/>
    <x v="26"/>
    <x v="26"/>
    <x v="1"/>
    <x v="1"/>
    <x v="1"/>
    <x v="2"/>
    <x v="71"/>
    <x v="226"/>
    <x v="59"/>
    <x v="331"/>
    <x v="74"/>
    <x v="56"/>
    <x v="1"/>
  </r>
  <r>
    <x v="0"/>
    <x v="26"/>
    <x v="26"/>
    <x v="6"/>
    <x v="6"/>
    <x v="6"/>
    <x v="3"/>
    <x v="102"/>
    <x v="114"/>
    <x v="139"/>
    <x v="332"/>
    <x v="52"/>
    <x v="169"/>
    <x v="1"/>
  </r>
  <r>
    <x v="0"/>
    <x v="26"/>
    <x v="26"/>
    <x v="4"/>
    <x v="4"/>
    <x v="4"/>
    <x v="4"/>
    <x v="161"/>
    <x v="227"/>
    <x v="142"/>
    <x v="78"/>
    <x v="51"/>
    <x v="256"/>
    <x v="1"/>
  </r>
  <r>
    <x v="0"/>
    <x v="26"/>
    <x v="26"/>
    <x v="14"/>
    <x v="14"/>
    <x v="14"/>
    <x v="5"/>
    <x v="103"/>
    <x v="115"/>
    <x v="133"/>
    <x v="232"/>
    <x v="45"/>
    <x v="92"/>
    <x v="1"/>
  </r>
  <r>
    <x v="0"/>
    <x v="26"/>
    <x v="26"/>
    <x v="17"/>
    <x v="17"/>
    <x v="17"/>
    <x v="6"/>
    <x v="112"/>
    <x v="184"/>
    <x v="80"/>
    <x v="333"/>
    <x v="67"/>
    <x v="259"/>
    <x v="1"/>
  </r>
  <r>
    <x v="0"/>
    <x v="26"/>
    <x v="26"/>
    <x v="3"/>
    <x v="3"/>
    <x v="3"/>
    <x v="7"/>
    <x v="152"/>
    <x v="228"/>
    <x v="140"/>
    <x v="334"/>
    <x v="51"/>
    <x v="256"/>
    <x v="1"/>
  </r>
  <r>
    <x v="0"/>
    <x v="26"/>
    <x v="26"/>
    <x v="45"/>
    <x v="45"/>
    <x v="45"/>
    <x v="8"/>
    <x v="150"/>
    <x v="194"/>
    <x v="25"/>
    <x v="335"/>
    <x v="77"/>
    <x v="177"/>
    <x v="1"/>
  </r>
  <r>
    <x v="0"/>
    <x v="26"/>
    <x v="26"/>
    <x v="12"/>
    <x v="12"/>
    <x v="12"/>
    <x v="9"/>
    <x v="153"/>
    <x v="229"/>
    <x v="95"/>
    <x v="336"/>
    <x v="48"/>
    <x v="258"/>
    <x v="1"/>
  </r>
  <r>
    <x v="0"/>
    <x v="26"/>
    <x v="26"/>
    <x v="8"/>
    <x v="8"/>
    <x v="8"/>
    <x v="10"/>
    <x v="76"/>
    <x v="26"/>
    <x v="78"/>
    <x v="294"/>
    <x v="61"/>
    <x v="260"/>
    <x v="1"/>
  </r>
  <r>
    <x v="0"/>
    <x v="26"/>
    <x v="26"/>
    <x v="11"/>
    <x v="11"/>
    <x v="11"/>
    <x v="11"/>
    <x v="62"/>
    <x v="135"/>
    <x v="72"/>
    <x v="276"/>
    <x v="42"/>
    <x v="261"/>
    <x v="1"/>
  </r>
  <r>
    <x v="0"/>
    <x v="26"/>
    <x v="26"/>
    <x v="5"/>
    <x v="5"/>
    <x v="5"/>
    <x v="11"/>
    <x v="62"/>
    <x v="135"/>
    <x v="111"/>
    <x v="337"/>
    <x v="66"/>
    <x v="214"/>
    <x v="1"/>
  </r>
  <r>
    <x v="0"/>
    <x v="26"/>
    <x v="26"/>
    <x v="15"/>
    <x v="15"/>
    <x v="15"/>
    <x v="13"/>
    <x v="164"/>
    <x v="126"/>
    <x v="83"/>
    <x v="198"/>
    <x v="50"/>
    <x v="0"/>
    <x v="1"/>
  </r>
  <r>
    <x v="0"/>
    <x v="26"/>
    <x v="26"/>
    <x v="10"/>
    <x v="10"/>
    <x v="10"/>
    <x v="13"/>
    <x v="164"/>
    <x v="126"/>
    <x v="34"/>
    <x v="15"/>
    <x v="45"/>
    <x v="92"/>
    <x v="1"/>
  </r>
  <r>
    <x v="0"/>
    <x v="26"/>
    <x v="26"/>
    <x v="9"/>
    <x v="9"/>
    <x v="9"/>
    <x v="15"/>
    <x v="63"/>
    <x v="59"/>
    <x v="47"/>
    <x v="145"/>
    <x v="88"/>
    <x v="262"/>
    <x v="1"/>
  </r>
  <r>
    <x v="0"/>
    <x v="26"/>
    <x v="26"/>
    <x v="16"/>
    <x v="16"/>
    <x v="16"/>
    <x v="16"/>
    <x v="80"/>
    <x v="80"/>
    <x v="63"/>
    <x v="159"/>
    <x v="69"/>
    <x v="263"/>
    <x v="1"/>
  </r>
  <r>
    <x v="0"/>
    <x v="26"/>
    <x v="26"/>
    <x v="28"/>
    <x v="28"/>
    <x v="28"/>
    <x v="17"/>
    <x v="111"/>
    <x v="106"/>
    <x v="49"/>
    <x v="338"/>
    <x v="43"/>
    <x v="80"/>
    <x v="1"/>
  </r>
  <r>
    <x v="0"/>
    <x v="26"/>
    <x v="26"/>
    <x v="50"/>
    <x v="50"/>
    <x v="50"/>
    <x v="18"/>
    <x v="41"/>
    <x v="158"/>
    <x v="30"/>
    <x v="226"/>
    <x v="62"/>
    <x v="36"/>
    <x v="1"/>
  </r>
  <r>
    <x v="0"/>
    <x v="26"/>
    <x v="26"/>
    <x v="22"/>
    <x v="22"/>
    <x v="22"/>
    <x v="19"/>
    <x v="66"/>
    <x v="35"/>
    <x v="78"/>
    <x v="294"/>
    <x v="57"/>
    <x v="113"/>
    <x v="1"/>
  </r>
  <r>
    <x v="0"/>
    <x v="27"/>
    <x v="27"/>
    <x v="0"/>
    <x v="0"/>
    <x v="0"/>
    <x v="0"/>
    <x v="175"/>
    <x v="230"/>
    <x v="143"/>
    <x v="339"/>
    <x v="58"/>
    <x v="229"/>
    <x v="1"/>
  </r>
  <r>
    <x v="0"/>
    <x v="27"/>
    <x v="27"/>
    <x v="1"/>
    <x v="1"/>
    <x v="1"/>
    <x v="1"/>
    <x v="156"/>
    <x v="231"/>
    <x v="74"/>
    <x v="192"/>
    <x v="106"/>
    <x v="264"/>
    <x v="1"/>
  </r>
  <r>
    <x v="0"/>
    <x v="27"/>
    <x v="27"/>
    <x v="5"/>
    <x v="5"/>
    <x v="5"/>
    <x v="2"/>
    <x v="128"/>
    <x v="1"/>
    <x v="144"/>
    <x v="340"/>
    <x v="45"/>
    <x v="39"/>
    <x v="1"/>
  </r>
  <r>
    <x v="0"/>
    <x v="27"/>
    <x v="27"/>
    <x v="3"/>
    <x v="3"/>
    <x v="3"/>
    <x v="3"/>
    <x v="99"/>
    <x v="187"/>
    <x v="145"/>
    <x v="341"/>
    <x v="66"/>
    <x v="222"/>
    <x v="1"/>
  </r>
  <r>
    <x v="0"/>
    <x v="27"/>
    <x v="27"/>
    <x v="2"/>
    <x v="2"/>
    <x v="2"/>
    <x v="4"/>
    <x v="159"/>
    <x v="232"/>
    <x v="107"/>
    <x v="342"/>
    <x v="66"/>
    <x v="222"/>
    <x v="1"/>
  </r>
  <r>
    <x v="0"/>
    <x v="27"/>
    <x v="27"/>
    <x v="4"/>
    <x v="4"/>
    <x v="4"/>
    <x v="5"/>
    <x v="121"/>
    <x v="233"/>
    <x v="146"/>
    <x v="179"/>
    <x v="72"/>
    <x v="24"/>
    <x v="1"/>
  </r>
  <r>
    <x v="0"/>
    <x v="27"/>
    <x v="27"/>
    <x v="7"/>
    <x v="7"/>
    <x v="7"/>
    <x v="6"/>
    <x v="176"/>
    <x v="100"/>
    <x v="57"/>
    <x v="343"/>
    <x v="130"/>
    <x v="265"/>
    <x v="1"/>
  </r>
  <r>
    <x v="0"/>
    <x v="27"/>
    <x v="27"/>
    <x v="6"/>
    <x v="6"/>
    <x v="6"/>
    <x v="7"/>
    <x v="72"/>
    <x v="234"/>
    <x v="139"/>
    <x v="344"/>
    <x v="62"/>
    <x v="266"/>
    <x v="1"/>
  </r>
  <r>
    <x v="0"/>
    <x v="27"/>
    <x v="27"/>
    <x v="8"/>
    <x v="8"/>
    <x v="8"/>
    <x v="8"/>
    <x v="112"/>
    <x v="125"/>
    <x v="44"/>
    <x v="34"/>
    <x v="108"/>
    <x v="267"/>
    <x v="1"/>
  </r>
  <r>
    <x v="0"/>
    <x v="27"/>
    <x v="27"/>
    <x v="13"/>
    <x v="13"/>
    <x v="13"/>
    <x v="9"/>
    <x v="61"/>
    <x v="47"/>
    <x v="44"/>
    <x v="34"/>
    <x v="95"/>
    <x v="147"/>
    <x v="1"/>
  </r>
  <r>
    <x v="0"/>
    <x v="27"/>
    <x v="27"/>
    <x v="22"/>
    <x v="22"/>
    <x v="22"/>
    <x v="10"/>
    <x v="62"/>
    <x v="105"/>
    <x v="33"/>
    <x v="48"/>
    <x v="87"/>
    <x v="268"/>
    <x v="1"/>
  </r>
  <r>
    <x v="0"/>
    <x v="27"/>
    <x v="27"/>
    <x v="9"/>
    <x v="9"/>
    <x v="9"/>
    <x v="11"/>
    <x v="77"/>
    <x v="48"/>
    <x v="57"/>
    <x v="343"/>
    <x v="71"/>
    <x v="234"/>
    <x v="1"/>
  </r>
  <r>
    <x v="0"/>
    <x v="27"/>
    <x v="27"/>
    <x v="19"/>
    <x v="19"/>
    <x v="19"/>
    <x v="12"/>
    <x v="63"/>
    <x v="82"/>
    <x v="48"/>
    <x v="267"/>
    <x v="110"/>
    <x v="269"/>
    <x v="1"/>
  </r>
  <r>
    <x v="0"/>
    <x v="27"/>
    <x v="27"/>
    <x v="10"/>
    <x v="10"/>
    <x v="10"/>
    <x v="13"/>
    <x v="80"/>
    <x v="49"/>
    <x v="78"/>
    <x v="43"/>
    <x v="40"/>
    <x v="95"/>
    <x v="1"/>
  </r>
  <r>
    <x v="0"/>
    <x v="27"/>
    <x v="27"/>
    <x v="14"/>
    <x v="14"/>
    <x v="14"/>
    <x v="13"/>
    <x v="80"/>
    <x v="49"/>
    <x v="79"/>
    <x v="220"/>
    <x v="64"/>
    <x v="270"/>
    <x v="1"/>
  </r>
  <r>
    <x v="0"/>
    <x v="27"/>
    <x v="27"/>
    <x v="11"/>
    <x v="11"/>
    <x v="11"/>
    <x v="15"/>
    <x v="64"/>
    <x v="33"/>
    <x v="49"/>
    <x v="345"/>
    <x v="61"/>
    <x v="258"/>
    <x v="1"/>
  </r>
  <r>
    <x v="0"/>
    <x v="27"/>
    <x v="27"/>
    <x v="33"/>
    <x v="33"/>
    <x v="33"/>
    <x v="15"/>
    <x v="64"/>
    <x v="33"/>
    <x v="33"/>
    <x v="48"/>
    <x v="72"/>
    <x v="24"/>
    <x v="1"/>
  </r>
  <r>
    <x v="0"/>
    <x v="27"/>
    <x v="27"/>
    <x v="20"/>
    <x v="20"/>
    <x v="20"/>
    <x v="17"/>
    <x v="87"/>
    <x v="71"/>
    <x v="91"/>
    <x v="297"/>
    <x v="83"/>
    <x v="72"/>
    <x v="1"/>
  </r>
  <r>
    <x v="0"/>
    <x v="27"/>
    <x v="27"/>
    <x v="16"/>
    <x v="16"/>
    <x v="16"/>
    <x v="18"/>
    <x v="40"/>
    <x v="107"/>
    <x v="45"/>
    <x v="144"/>
    <x v="92"/>
    <x v="196"/>
    <x v="1"/>
  </r>
  <r>
    <x v="0"/>
    <x v="27"/>
    <x v="27"/>
    <x v="28"/>
    <x v="28"/>
    <x v="28"/>
    <x v="19"/>
    <x v="41"/>
    <x v="235"/>
    <x v="45"/>
    <x v="144"/>
    <x v="60"/>
    <x v="128"/>
    <x v="1"/>
  </r>
  <r>
    <x v="0"/>
    <x v="28"/>
    <x v="28"/>
    <x v="1"/>
    <x v="1"/>
    <x v="1"/>
    <x v="0"/>
    <x v="177"/>
    <x v="236"/>
    <x v="64"/>
    <x v="321"/>
    <x v="131"/>
    <x v="85"/>
    <x v="1"/>
  </r>
  <r>
    <x v="0"/>
    <x v="28"/>
    <x v="28"/>
    <x v="0"/>
    <x v="0"/>
    <x v="0"/>
    <x v="1"/>
    <x v="178"/>
    <x v="237"/>
    <x v="147"/>
    <x v="346"/>
    <x v="81"/>
    <x v="67"/>
    <x v="1"/>
  </r>
  <r>
    <x v="0"/>
    <x v="28"/>
    <x v="28"/>
    <x v="4"/>
    <x v="4"/>
    <x v="4"/>
    <x v="2"/>
    <x v="179"/>
    <x v="53"/>
    <x v="148"/>
    <x v="103"/>
    <x v="57"/>
    <x v="167"/>
    <x v="0"/>
  </r>
  <r>
    <x v="0"/>
    <x v="28"/>
    <x v="28"/>
    <x v="2"/>
    <x v="2"/>
    <x v="2"/>
    <x v="3"/>
    <x v="180"/>
    <x v="6"/>
    <x v="149"/>
    <x v="347"/>
    <x v="51"/>
    <x v="155"/>
    <x v="1"/>
  </r>
  <r>
    <x v="0"/>
    <x v="28"/>
    <x v="28"/>
    <x v="3"/>
    <x v="3"/>
    <x v="3"/>
    <x v="3"/>
    <x v="180"/>
    <x v="6"/>
    <x v="150"/>
    <x v="348"/>
    <x v="87"/>
    <x v="133"/>
    <x v="1"/>
  </r>
  <r>
    <x v="0"/>
    <x v="28"/>
    <x v="28"/>
    <x v="6"/>
    <x v="6"/>
    <x v="6"/>
    <x v="5"/>
    <x v="174"/>
    <x v="156"/>
    <x v="138"/>
    <x v="204"/>
    <x v="40"/>
    <x v="94"/>
    <x v="1"/>
  </r>
  <r>
    <x v="0"/>
    <x v="28"/>
    <x v="28"/>
    <x v="5"/>
    <x v="5"/>
    <x v="5"/>
    <x v="6"/>
    <x v="84"/>
    <x v="164"/>
    <x v="13"/>
    <x v="349"/>
    <x v="84"/>
    <x v="14"/>
    <x v="1"/>
  </r>
  <r>
    <x v="0"/>
    <x v="28"/>
    <x v="28"/>
    <x v="7"/>
    <x v="7"/>
    <x v="7"/>
    <x v="7"/>
    <x v="112"/>
    <x v="89"/>
    <x v="50"/>
    <x v="44"/>
    <x v="132"/>
    <x v="175"/>
    <x v="1"/>
  </r>
  <r>
    <x v="0"/>
    <x v="28"/>
    <x v="28"/>
    <x v="13"/>
    <x v="13"/>
    <x v="13"/>
    <x v="8"/>
    <x v="58"/>
    <x v="27"/>
    <x v="46"/>
    <x v="13"/>
    <x v="132"/>
    <x v="175"/>
    <x v="6"/>
  </r>
  <r>
    <x v="0"/>
    <x v="28"/>
    <x v="28"/>
    <x v="43"/>
    <x v="43"/>
    <x v="43"/>
    <x v="9"/>
    <x v="162"/>
    <x v="47"/>
    <x v="26"/>
    <x v="137"/>
    <x v="70"/>
    <x v="109"/>
    <x v="1"/>
  </r>
  <r>
    <x v="0"/>
    <x v="28"/>
    <x v="28"/>
    <x v="9"/>
    <x v="9"/>
    <x v="9"/>
    <x v="10"/>
    <x v="59"/>
    <x v="28"/>
    <x v="80"/>
    <x v="350"/>
    <x v="70"/>
    <x v="109"/>
    <x v="0"/>
  </r>
  <r>
    <x v="0"/>
    <x v="28"/>
    <x v="28"/>
    <x v="40"/>
    <x v="40"/>
    <x v="40"/>
    <x v="11"/>
    <x v="150"/>
    <x v="48"/>
    <x v="91"/>
    <x v="153"/>
    <x v="95"/>
    <x v="66"/>
    <x v="1"/>
  </r>
  <r>
    <x v="0"/>
    <x v="28"/>
    <x v="28"/>
    <x v="10"/>
    <x v="10"/>
    <x v="10"/>
    <x v="11"/>
    <x v="150"/>
    <x v="48"/>
    <x v="90"/>
    <x v="317"/>
    <x v="69"/>
    <x v="69"/>
    <x v="1"/>
  </r>
  <r>
    <x v="0"/>
    <x v="28"/>
    <x v="28"/>
    <x v="8"/>
    <x v="8"/>
    <x v="8"/>
    <x v="13"/>
    <x v="153"/>
    <x v="129"/>
    <x v="42"/>
    <x v="351"/>
    <x v="111"/>
    <x v="224"/>
    <x v="1"/>
  </r>
  <r>
    <x v="0"/>
    <x v="28"/>
    <x v="28"/>
    <x v="30"/>
    <x v="30"/>
    <x v="30"/>
    <x v="14"/>
    <x v="133"/>
    <x v="82"/>
    <x v="60"/>
    <x v="352"/>
    <x v="46"/>
    <x v="126"/>
    <x v="1"/>
  </r>
  <r>
    <x v="0"/>
    <x v="28"/>
    <x v="28"/>
    <x v="16"/>
    <x v="16"/>
    <x v="16"/>
    <x v="15"/>
    <x v="62"/>
    <x v="141"/>
    <x v="42"/>
    <x v="351"/>
    <x v="133"/>
    <x v="47"/>
    <x v="1"/>
  </r>
  <r>
    <x v="0"/>
    <x v="28"/>
    <x v="28"/>
    <x v="17"/>
    <x v="17"/>
    <x v="17"/>
    <x v="16"/>
    <x v="77"/>
    <x v="171"/>
    <x v="41"/>
    <x v="353"/>
    <x v="95"/>
    <x v="66"/>
    <x v="1"/>
  </r>
  <r>
    <x v="0"/>
    <x v="28"/>
    <x v="28"/>
    <x v="19"/>
    <x v="19"/>
    <x v="19"/>
    <x v="17"/>
    <x v="78"/>
    <x v="71"/>
    <x v="46"/>
    <x v="13"/>
    <x v="117"/>
    <x v="146"/>
    <x v="1"/>
  </r>
  <r>
    <x v="0"/>
    <x v="28"/>
    <x v="28"/>
    <x v="18"/>
    <x v="18"/>
    <x v="18"/>
    <x v="17"/>
    <x v="78"/>
    <x v="71"/>
    <x v="72"/>
    <x v="173"/>
    <x v="63"/>
    <x v="119"/>
    <x v="1"/>
  </r>
  <r>
    <x v="0"/>
    <x v="28"/>
    <x v="28"/>
    <x v="21"/>
    <x v="21"/>
    <x v="21"/>
    <x v="19"/>
    <x v="94"/>
    <x v="181"/>
    <x v="50"/>
    <x v="44"/>
    <x v="80"/>
    <x v="12"/>
    <x v="1"/>
  </r>
  <r>
    <x v="0"/>
    <x v="29"/>
    <x v="29"/>
    <x v="0"/>
    <x v="0"/>
    <x v="0"/>
    <x v="0"/>
    <x v="181"/>
    <x v="238"/>
    <x v="134"/>
    <x v="354"/>
    <x v="74"/>
    <x v="36"/>
    <x v="1"/>
  </r>
  <r>
    <x v="0"/>
    <x v="29"/>
    <x v="29"/>
    <x v="4"/>
    <x v="4"/>
    <x v="4"/>
    <x v="1"/>
    <x v="175"/>
    <x v="225"/>
    <x v="151"/>
    <x v="355"/>
    <x v="77"/>
    <x v="271"/>
    <x v="1"/>
  </r>
  <r>
    <x v="0"/>
    <x v="29"/>
    <x v="29"/>
    <x v="2"/>
    <x v="2"/>
    <x v="2"/>
    <x v="2"/>
    <x v="182"/>
    <x v="239"/>
    <x v="152"/>
    <x v="85"/>
    <x v="49"/>
    <x v="53"/>
    <x v="1"/>
  </r>
  <r>
    <x v="0"/>
    <x v="29"/>
    <x v="29"/>
    <x v="6"/>
    <x v="6"/>
    <x v="6"/>
    <x v="3"/>
    <x v="183"/>
    <x v="53"/>
    <x v="153"/>
    <x v="356"/>
    <x v="71"/>
    <x v="227"/>
    <x v="1"/>
  </r>
  <r>
    <x v="0"/>
    <x v="29"/>
    <x v="29"/>
    <x v="1"/>
    <x v="1"/>
    <x v="1"/>
    <x v="4"/>
    <x v="184"/>
    <x v="75"/>
    <x v="133"/>
    <x v="274"/>
    <x v="134"/>
    <x v="272"/>
    <x v="1"/>
  </r>
  <r>
    <x v="0"/>
    <x v="29"/>
    <x v="29"/>
    <x v="3"/>
    <x v="3"/>
    <x v="3"/>
    <x v="5"/>
    <x v="185"/>
    <x v="240"/>
    <x v="154"/>
    <x v="357"/>
    <x v="49"/>
    <x v="53"/>
    <x v="1"/>
  </r>
  <r>
    <x v="0"/>
    <x v="29"/>
    <x v="29"/>
    <x v="5"/>
    <x v="5"/>
    <x v="5"/>
    <x v="6"/>
    <x v="146"/>
    <x v="20"/>
    <x v="155"/>
    <x v="358"/>
    <x v="42"/>
    <x v="266"/>
    <x v="1"/>
  </r>
  <r>
    <x v="0"/>
    <x v="29"/>
    <x v="29"/>
    <x v="10"/>
    <x v="10"/>
    <x v="10"/>
    <x v="7"/>
    <x v="124"/>
    <x v="241"/>
    <x v="25"/>
    <x v="328"/>
    <x v="110"/>
    <x v="121"/>
    <x v="1"/>
  </r>
  <r>
    <x v="0"/>
    <x v="29"/>
    <x v="29"/>
    <x v="19"/>
    <x v="19"/>
    <x v="19"/>
    <x v="8"/>
    <x v="71"/>
    <x v="9"/>
    <x v="44"/>
    <x v="40"/>
    <x v="135"/>
    <x v="243"/>
    <x v="1"/>
  </r>
  <r>
    <x v="0"/>
    <x v="29"/>
    <x v="29"/>
    <x v="18"/>
    <x v="18"/>
    <x v="18"/>
    <x v="9"/>
    <x v="72"/>
    <x v="212"/>
    <x v="70"/>
    <x v="359"/>
    <x v="81"/>
    <x v="60"/>
    <x v="1"/>
  </r>
  <r>
    <x v="0"/>
    <x v="29"/>
    <x v="29"/>
    <x v="31"/>
    <x v="31"/>
    <x v="31"/>
    <x v="10"/>
    <x v="186"/>
    <x v="10"/>
    <x v="61"/>
    <x v="360"/>
    <x v="68"/>
    <x v="246"/>
    <x v="1"/>
  </r>
  <r>
    <x v="0"/>
    <x v="29"/>
    <x v="29"/>
    <x v="9"/>
    <x v="9"/>
    <x v="9"/>
    <x v="11"/>
    <x v="187"/>
    <x v="137"/>
    <x v="47"/>
    <x v="350"/>
    <x v="68"/>
    <x v="246"/>
    <x v="1"/>
  </r>
  <r>
    <x v="0"/>
    <x v="29"/>
    <x v="29"/>
    <x v="11"/>
    <x v="11"/>
    <x v="11"/>
    <x v="12"/>
    <x v="188"/>
    <x v="60"/>
    <x v="78"/>
    <x v="345"/>
    <x v="79"/>
    <x v="34"/>
    <x v="1"/>
  </r>
  <r>
    <x v="0"/>
    <x v="29"/>
    <x v="29"/>
    <x v="15"/>
    <x v="15"/>
    <x v="15"/>
    <x v="13"/>
    <x v="161"/>
    <x v="14"/>
    <x v="88"/>
    <x v="30"/>
    <x v="40"/>
    <x v="58"/>
    <x v="1"/>
  </r>
  <r>
    <x v="0"/>
    <x v="29"/>
    <x v="29"/>
    <x v="13"/>
    <x v="13"/>
    <x v="13"/>
    <x v="14"/>
    <x v="103"/>
    <x v="242"/>
    <x v="42"/>
    <x v="13"/>
    <x v="136"/>
    <x v="273"/>
    <x v="0"/>
  </r>
  <r>
    <x v="0"/>
    <x v="29"/>
    <x v="29"/>
    <x v="22"/>
    <x v="22"/>
    <x v="22"/>
    <x v="15"/>
    <x v="112"/>
    <x v="49"/>
    <x v="70"/>
    <x v="359"/>
    <x v="88"/>
    <x v="274"/>
    <x v="1"/>
  </r>
  <r>
    <x v="0"/>
    <x v="29"/>
    <x v="29"/>
    <x v="12"/>
    <x v="12"/>
    <x v="12"/>
    <x v="16"/>
    <x v="90"/>
    <x v="33"/>
    <x v="78"/>
    <x v="345"/>
    <x v="117"/>
    <x v="258"/>
    <x v="1"/>
  </r>
  <r>
    <x v="0"/>
    <x v="29"/>
    <x v="29"/>
    <x v="7"/>
    <x v="7"/>
    <x v="7"/>
    <x v="17"/>
    <x v="74"/>
    <x v="141"/>
    <x v="66"/>
    <x v="214"/>
    <x v="24"/>
    <x v="191"/>
    <x v="0"/>
  </r>
  <r>
    <x v="0"/>
    <x v="29"/>
    <x v="29"/>
    <x v="28"/>
    <x v="28"/>
    <x v="28"/>
    <x v="18"/>
    <x v="58"/>
    <x v="16"/>
    <x v="72"/>
    <x v="29"/>
    <x v="56"/>
    <x v="67"/>
    <x v="1"/>
  </r>
  <r>
    <x v="0"/>
    <x v="29"/>
    <x v="29"/>
    <x v="16"/>
    <x v="16"/>
    <x v="16"/>
    <x v="19"/>
    <x v="162"/>
    <x v="159"/>
    <x v="48"/>
    <x v="315"/>
    <x v="109"/>
    <x v="275"/>
    <x v="1"/>
  </r>
  <r>
    <x v="0"/>
    <x v="29"/>
    <x v="29"/>
    <x v="8"/>
    <x v="8"/>
    <x v="8"/>
    <x v="19"/>
    <x v="162"/>
    <x v="159"/>
    <x v="62"/>
    <x v="80"/>
    <x v="137"/>
    <x v="47"/>
    <x v="1"/>
  </r>
  <r>
    <x v="0"/>
    <x v="30"/>
    <x v="30"/>
    <x v="1"/>
    <x v="1"/>
    <x v="1"/>
    <x v="0"/>
    <x v="189"/>
    <x v="243"/>
    <x v="75"/>
    <x v="361"/>
    <x v="99"/>
    <x v="276"/>
    <x v="1"/>
  </r>
  <r>
    <x v="0"/>
    <x v="30"/>
    <x v="30"/>
    <x v="0"/>
    <x v="0"/>
    <x v="0"/>
    <x v="1"/>
    <x v="133"/>
    <x v="73"/>
    <x v="70"/>
    <x v="362"/>
    <x v="66"/>
    <x v="36"/>
    <x v="1"/>
  </r>
  <r>
    <x v="0"/>
    <x v="30"/>
    <x v="30"/>
    <x v="4"/>
    <x v="4"/>
    <x v="4"/>
    <x v="2"/>
    <x v="77"/>
    <x v="244"/>
    <x v="52"/>
    <x v="279"/>
    <x v="47"/>
    <x v="88"/>
    <x v="1"/>
  </r>
  <r>
    <x v="0"/>
    <x v="30"/>
    <x v="30"/>
    <x v="2"/>
    <x v="2"/>
    <x v="2"/>
    <x v="3"/>
    <x v="164"/>
    <x v="187"/>
    <x v="70"/>
    <x v="362"/>
    <x v="89"/>
    <x v="208"/>
    <x v="1"/>
  </r>
  <r>
    <x v="0"/>
    <x v="30"/>
    <x v="30"/>
    <x v="6"/>
    <x v="6"/>
    <x v="6"/>
    <x v="4"/>
    <x v="63"/>
    <x v="213"/>
    <x v="95"/>
    <x v="102"/>
    <x v="72"/>
    <x v="277"/>
    <x v="1"/>
  </r>
  <r>
    <x v="0"/>
    <x v="30"/>
    <x v="30"/>
    <x v="3"/>
    <x v="3"/>
    <x v="3"/>
    <x v="5"/>
    <x v="111"/>
    <x v="114"/>
    <x v="83"/>
    <x v="207"/>
    <x v="90"/>
    <x v="27"/>
    <x v="1"/>
  </r>
  <r>
    <x v="0"/>
    <x v="30"/>
    <x v="30"/>
    <x v="7"/>
    <x v="7"/>
    <x v="7"/>
    <x v="6"/>
    <x v="81"/>
    <x v="87"/>
    <x v="58"/>
    <x v="25"/>
    <x v="75"/>
    <x v="278"/>
    <x v="1"/>
  </r>
  <r>
    <x v="0"/>
    <x v="30"/>
    <x v="30"/>
    <x v="29"/>
    <x v="29"/>
    <x v="29"/>
    <x v="6"/>
    <x v="81"/>
    <x v="87"/>
    <x v="77"/>
    <x v="363"/>
    <x v="44"/>
    <x v="279"/>
    <x v="1"/>
  </r>
  <r>
    <x v="0"/>
    <x v="30"/>
    <x v="30"/>
    <x v="5"/>
    <x v="5"/>
    <x v="5"/>
    <x v="8"/>
    <x v="40"/>
    <x v="21"/>
    <x v="123"/>
    <x v="358"/>
    <x v="86"/>
    <x v="222"/>
    <x v="1"/>
  </r>
  <r>
    <x v="0"/>
    <x v="30"/>
    <x v="30"/>
    <x v="18"/>
    <x v="18"/>
    <x v="18"/>
    <x v="9"/>
    <x v="95"/>
    <x v="46"/>
    <x v="120"/>
    <x v="235"/>
    <x v="41"/>
    <x v="280"/>
    <x v="1"/>
  </r>
  <r>
    <x v="0"/>
    <x v="30"/>
    <x v="30"/>
    <x v="9"/>
    <x v="9"/>
    <x v="9"/>
    <x v="10"/>
    <x v="45"/>
    <x v="90"/>
    <x v="48"/>
    <x v="88"/>
    <x v="40"/>
    <x v="172"/>
    <x v="1"/>
  </r>
  <r>
    <x v="0"/>
    <x v="30"/>
    <x v="30"/>
    <x v="10"/>
    <x v="10"/>
    <x v="10"/>
    <x v="10"/>
    <x v="45"/>
    <x v="90"/>
    <x v="39"/>
    <x v="364"/>
    <x v="72"/>
    <x v="277"/>
    <x v="1"/>
  </r>
  <r>
    <x v="0"/>
    <x v="30"/>
    <x v="30"/>
    <x v="19"/>
    <x v="19"/>
    <x v="19"/>
    <x v="12"/>
    <x v="46"/>
    <x v="91"/>
    <x v="48"/>
    <x v="88"/>
    <x v="64"/>
    <x v="243"/>
    <x v="1"/>
  </r>
  <r>
    <x v="0"/>
    <x v="30"/>
    <x v="30"/>
    <x v="21"/>
    <x v="21"/>
    <x v="21"/>
    <x v="13"/>
    <x v="49"/>
    <x v="93"/>
    <x v="41"/>
    <x v="365"/>
    <x v="64"/>
    <x v="243"/>
    <x v="1"/>
  </r>
  <r>
    <x v="0"/>
    <x v="30"/>
    <x v="30"/>
    <x v="15"/>
    <x v="15"/>
    <x v="15"/>
    <x v="13"/>
    <x v="49"/>
    <x v="93"/>
    <x v="71"/>
    <x v="173"/>
    <x v="66"/>
    <x v="36"/>
    <x v="1"/>
  </r>
  <r>
    <x v="0"/>
    <x v="30"/>
    <x v="30"/>
    <x v="13"/>
    <x v="13"/>
    <x v="13"/>
    <x v="15"/>
    <x v="92"/>
    <x v="13"/>
    <x v="46"/>
    <x v="40"/>
    <x v="45"/>
    <x v="269"/>
    <x v="1"/>
  </r>
  <r>
    <x v="0"/>
    <x v="30"/>
    <x v="30"/>
    <x v="33"/>
    <x v="33"/>
    <x v="33"/>
    <x v="16"/>
    <x v="50"/>
    <x v="94"/>
    <x v="91"/>
    <x v="366"/>
    <x v="72"/>
    <x v="277"/>
    <x v="1"/>
  </r>
  <r>
    <x v="0"/>
    <x v="30"/>
    <x v="30"/>
    <x v="24"/>
    <x v="24"/>
    <x v="24"/>
    <x v="17"/>
    <x v="52"/>
    <x v="35"/>
    <x v="41"/>
    <x v="365"/>
    <x v="49"/>
    <x v="180"/>
    <x v="1"/>
  </r>
  <r>
    <x v="0"/>
    <x v="30"/>
    <x v="30"/>
    <x v="30"/>
    <x v="30"/>
    <x v="30"/>
    <x v="17"/>
    <x v="52"/>
    <x v="35"/>
    <x v="63"/>
    <x v="162"/>
    <x v="47"/>
    <x v="88"/>
    <x v="1"/>
  </r>
  <r>
    <x v="0"/>
    <x v="30"/>
    <x v="30"/>
    <x v="20"/>
    <x v="20"/>
    <x v="20"/>
    <x v="17"/>
    <x v="52"/>
    <x v="35"/>
    <x v="48"/>
    <x v="88"/>
    <x v="53"/>
    <x v="221"/>
    <x v="1"/>
  </r>
  <r>
    <x v="0"/>
    <x v="31"/>
    <x v="31"/>
    <x v="1"/>
    <x v="1"/>
    <x v="1"/>
    <x v="0"/>
    <x v="190"/>
    <x v="245"/>
    <x v="137"/>
    <x v="367"/>
    <x v="97"/>
    <x v="281"/>
    <x v="1"/>
  </r>
  <r>
    <x v="0"/>
    <x v="31"/>
    <x v="31"/>
    <x v="7"/>
    <x v="7"/>
    <x v="7"/>
    <x v="1"/>
    <x v="182"/>
    <x v="246"/>
    <x v="46"/>
    <x v="172"/>
    <x v="138"/>
    <x v="282"/>
    <x v="1"/>
  </r>
  <r>
    <x v="0"/>
    <x v="31"/>
    <x v="31"/>
    <x v="0"/>
    <x v="0"/>
    <x v="0"/>
    <x v="2"/>
    <x v="84"/>
    <x v="247"/>
    <x v="139"/>
    <x v="368"/>
    <x v="40"/>
    <x v="283"/>
    <x v="1"/>
  </r>
  <r>
    <x v="0"/>
    <x v="31"/>
    <x v="31"/>
    <x v="4"/>
    <x v="4"/>
    <x v="4"/>
    <x v="3"/>
    <x v="75"/>
    <x v="23"/>
    <x v="87"/>
    <x v="369"/>
    <x v="51"/>
    <x v="220"/>
    <x v="1"/>
  </r>
  <r>
    <x v="0"/>
    <x v="31"/>
    <x v="31"/>
    <x v="5"/>
    <x v="5"/>
    <x v="5"/>
    <x v="3"/>
    <x v="75"/>
    <x v="23"/>
    <x v="70"/>
    <x v="23"/>
    <x v="49"/>
    <x v="168"/>
    <x v="1"/>
  </r>
  <r>
    <x v="0"/>
    <x v="31"/>
    <x v="31"/>
    <x v="2"/>
    <x v="2"/>
    <x v="2"/>
    <x v="5"/>
    <x v="133"/>
    <x v="165"/>
    <x v="125"/>
    <x v="370"/>
    <x v="51"/>
    <x v="220"/>
    <x v="1"/>
  </r>
  <r>
    <x v="0"/>
    <x v="31"/>
    <x v="31"/>
    <x v="3"/>
    <x v="3"/>
    <x v="3"/>
    <x v="6"/>
    <x v="78"/>
    <x v="180"/>
    <x v="111"/>
    <x v="371"/>
    <x v="57"/>
    <x v="48"/>
    <x v="1"/>
  </r>
  <r>
    <x v="0"/>
    <x v="31"/>
    <x v="31"/>
    <x v="51"/>
    <x v="51"/>
    <x v="51"/>
    <x v="7"/>
    <x v="79"/>
    <x v="8"/>
    <x v="44"/>
    <x v="297"/>
    <x v="103"/>
    <x v="284"/>
    <x v="1"/>
  </r>
  <r>
    <x v="0"/>
    <x v="31"/>
    <x v="31"/>
    <x v="13"/>
    <x v="13"/>
    <x v="13"/>
    <x v="7"/>
    <x v="79"/>
    <x v="8"/>
    <x v="46"/>
    <x v="172"/>
    <x v="110"/>
    <x v="9"/>
    <x v="1"/>
  </r>
  <r>
    <x v="0"/>
    <x v="31"/>
    <x v="31"/>
    <x v="40"/>
    <x v="40"/>
    <x v="40"/>
    <x v="9"/>
    <x v="91"/>
    <x v="9"/>
    <x v="50"/>
    <x v="29"/>
    <x v="75"/>
    <x v="82"/>
    <x v="1"/>
  </r>
  <r>
    <x v="0"/>
    <x v="31"/>
    <x v="31"/>
    <x v="8"/>
    <x v="8"/>
    <x v="8"/>
    <x v="10"/>
    <x v="87"/>
    <x v="137"/>
    <x v="45"/>
    <x v="372"/>
    <x v="76"/>
    <x v="254"/>
    <x v="1"/>
  </r>
  <r>
    <x v="0"/>
    <x v="31"/>
    <x v="31"/>
    <x v="6"/>
    <x v="6"/>
    <x v="6"/>
    <x v="11"/>
    <x v="111"/>
    <x v="106"/>
    <x v="73"/>
    <x v="99"/>
    <x v="53"/>
    <x v="44"/>
    <x v="1"/>
  </r>
  <r>
    <x v="0"/>
    <x v="31"/>
    <x v="31"/>
    <x v="16"/>
    <x v="16"/>
    <x v="16"/>
    <x v="12"/>
    <x v="41"/>
    <x v="158"/>
    <x v="41"/>
    <x v="92"/>
    <x v="76"/>
    <x v="254"/>
    <x v="1"/>
  </r>
  <r>
    <x v="0"/>
    <x v="31"/>
    <x v="31"/>
    <x v="11"/>
    <x v="11"/>
    <x v="11"/>
    <x v="12"/>
    <x v="41"/>
    <x v="158"/>
    <x v="63"/>
    <x v="227"/>
    <x v="84"/>
    <x v="285"/>
    <x v="1"/>
  </r>
  <r>
    <x v="0"/>
    <x v="31"/>
    <x v="31"/>
    <x v="18"/>
    <x v="18"/>
    <x v="18"/>
    <x v="14"/>
    <x v="83"/>
    <x v="16"/>
    <x v="81"/>
    <x v="10"/>
    <x v="62"/>
    <x v="15"/>
    <x v="1"/>
  </r>
  <r>
    <x v="0"/>
    <x v="31"/>
    <x v="31"/>
    <x v="19"/>
    <x v="19"/>
    <x v="19"/>
    <x v="15"/>
    <x v="66"/>
    <x v="35"/>
    <x v="42"/>
    <x v="35"/>
    <x v="83"/>
    <x v="286"/>
    <x v="1"/>
  </r>
  <r>
    <x v="0"/>
    <x v="31"/>
    <x v="31"/>
    <x v="14"/>
    <x v="14"/>
    <x v="14"/>
    <x v="15"/>
    <x v="66"/>
    <x v="35"/>
    <x v="49"/>
    <x v="238"/>
    <x v="45"/>
    <x v="37"/>
    <x v="1"/>
  </r>
  <r>
    <x v="0"/>
    <x v="31"/>
    <x v="31"/>
    <x v="21"/>
    <x v="21"/>
    <x v="21"/>
    <x v="17"/>
    <x v="67"/>
    <x v="181"/>
    <x v="42"/>
    <x v="35"/>
    <x v="61"/>
    <x v="179"/>
    <x v="1"/>
  </r>
  <r>
    <x v="0"/>
    <x v="31"/>
    <x v="31"/>
    <x v="43"/>
    <x v="43"/>
    <x v="43"/>
    <x v="17"/>
    <x v="67"/>
    <x v="181"/>
    <x v="58"/>
    <x v="110"/>
    <x v="88"/>
    <x v="287"/>
    <x v="1"/>
  </r>
  <r>
    <x v="0"/>
    <x v="31"/>
    <x v="31"/>
    <x v="22"/>
    <x v="22"/>
    <x v="22"/>
    <x v="17"/>
    <x v="67"/>
    <x v="181"/>
    <x v="47"/>
    <x v="274"/>
    <x v="78"/>
    <x v="199"/>
    <x v="1"/>
  </r>
  <r>
    <x v="0"/>
    <x v="32"/>
    <x v="32"/>
    <x v="0"/>
    <x v="0"/>
    <x v="0"/>
    <x v="0"/>
    <x v="191"/>
    <x v="248"/>
    <x v="106"/>
    <x v="373"/>
    <x v="50"/>
    <x v="252"/>
    <x v="1"/>
  </r>
  <r>
    <x v="0"/>
    <x v="32"/>
    <x v="32"/>
    <x v="15"/>
    <x v="15"/>
    <x v="15"/>
    <x v="1"/>
    <x v="103"/>
    <x v="146"/>
    <x v="56"/>
    <x v="374"/>
    <x v="88"/>
    <x v="288"/>
    <x v="1"/>
  </r>
  <r>
    <x v="0"/>
    <x v="32"/>
    <x v="32"/>
    <x v="2"/>
    <x v="2"/>
    <x v="2"/>
    <x v="2"/>
    <x v="90"/>
    <x v="99"/>
    <x v="140"/>
    <x v="69"/>
    <x v="41"/>
    <x v="100"/>
    <x v="1"/>
  </r>
  <r>
    <x v="0"/>
    <x v="32"/>
    <x v="32"/>
    <x v="3"/>
    <x v="3"/>
    <x v="3"/>
    <x v="2"/>
    <x v="90"/>
    <x v="99"/>
    <x v="87"/>
    <x v="282"/>
    <x v="77"/>
    <x v="168"/>
    <x v="1"/>
  </r>
  <r>
    <x v="0"/>
    <x v="32"/>
    <x v="32"/>
    <x v="5"/>
    <x v="5"/>
    <x v="5"/>
    <x v="4"/>
    <x v="58"/>
    <x v="154"/>
    <x v="76"/>
    <x v="375"/>
    <x v="49"/>
    <x v="95"/>
    <x v="1"/>
  </r>
  <r>
    <x v="0"/>
    <x v="32"/>
    <x v="32"/>
    <x v="1"/>
    <x v="1"/>
    <x v="1"/>
    <x v="5"/>
    <x v="60"/>
    <x v="156"/>
    <x v="40"/>
    <x v="376"/>
    <x v="92"/>
    <x v="151"/>
    <x v="1"/>
  </r>
  <r>
    <x v="0"/>
    <x v="32"/>
    <x v="32"/>
    <x v="12"/>
    <x v="12"/>
    <x v="12"/>
    <x v="6"/>
    <x v="150"/>
    <x v="66"/>
    <x v="43"/>
    <x v="133"/>
    <x v="75"/>
    <x v="260"/>
    <x v="1"/>
  </r>
  <r>
    <x v="0"/>
    <x v="32"/>
    <x v="32"/>
    <x v="11"/>
    <x v="11"/>
    <x v="11"/>
    <x v="7"/>
    <x v="153"/>
    <x v="101"/>
    <x v="120"/>
    <x v="325"/>
    <x v="73"/>
    <x v="104"/>
    <x v="1"/>
  </r>
  <r>
    <x v="0"/>
    <x v="32"/>
    <x v="32"/>
    <x v="4"/>
    <x v="4"/>
    <x v="4"/>
    <x v="7"/>
    <x v="153"/>
    <x v="101"/>
    <x v="69"/>
    <x v="377"/>
    <x v="52"/>
    <x v="58"/>
    <x v="1"/>
  </r>
  <r>
    <x v="0"/>
    <x v="32"/>
    <x v="32"/>
    <x v="6"/>
    <x v="6"/>
    <x v="6"/>
    <x v="9"/>
    <x v="105"/>
    <x v="249"/>
    <x v="70"/>
    <x v="378"/>
    <x v="57"/>
    <x v="133"/>
    <x v="1"/>
  </r>
  <r>
    <x v="0"/>
    <x v="32"/>
    <x v="32"/>
    <x v="7"/>
    <x v="7"/>
    <x v="7"/>
    <x v="10"/>
    <x v="110"/>
    <x v="134"/>
    <x v="42"/>
    <x v="154"/>
    <x v="95"/>
    <x v="289"/>
    <x v="1"/>
  </r>
  <r>
    <x v="0"/>
    <x v="32"/>
    <x v="32"/>
    <x v="17"/>
    <x v="17"/>
    <x v="17"/>
    <x v="11"/>
    <x v="86"/>
    <x v="250"/>
    <x v="45"/>
    <x v="215"/>
    <x v="58"/>
    <x v="290"/>
    <x v="1"/>
  </r>
  <r>
    <x v="0"/>
    <x v="32"/>
    <x v="32"/>
    <x v="10"/>
    <x v="10"/>
    <x v="10"/>
    <x v="11"/>
    <x v="86"/>
    <x v="250"/>
    <x v="35"/>
    <x v="379"/>
    <x v="48"/>
    <x v="285"/>
    <x v="0"/>
  </r>
  <r>
    <x v="0"/>
    <x v="32"/>
    <x v="32"/>
    <x v="9"/>
    <x v="9"/>
    <x v="9"/>
    <x v="13"/>
    <x v="87"/>
    <x v="9"/>
    <x v="91"/>
    <x v="29"/>
    <x v="83"/>
    <x v="109"/>
    <x v="1"/>
  </r>
  <r>
    <x v="0"/>
    <x v="32"/>
    <x v="32"/>
    <x v="8"/>
    <x v="8"/>
    <x v="8"/>
    <x v="13"/>
    <x v="87"/>
    <x v="9"/>
    <x v="62"/>
    <x v="372"/>
    <x v="59"/>
    <x v="273"/>
    <x v="1"/>
  </r>
  <r>
    <x v="0"/>
    <x v="32"/>
    <x v="32"/>
    <x v="16"/>
    <x v="16"/>
    <x v="16"/>
    <x v="15"/>
    <x v="81"/>
    <x v="137"/>
    <x v="45"/>
    <x v="215"/>
    <x v="59"/>
    <x v="273"/>
    <x v="1"/>
  </r>
  <r>
    <x v="0"/>
    <x v="32"/>
    <x v="32"/>
    <x v="18"/>
    <x v="18"/>
    <x v="18"/>
    <x v="16"/>
    <x v="65"/>
    <x v="106"/>
    <x v="79"/>
    <x v="380"/>
    <x v="53"/>
    <x v="280"/>
    <x v="1"/>
  </r>
  <r>
    <x v="0"/>
    <x v="32"/>
    <x v="32"/>
    <x v="22"/>
    <x v="22"/>
    <x v="22"/>
    <x v="16"/>
    <x v="65"/>
    <x v="106"/>
    <x v="90"/>
    <x v="184"/>
    <x v="66"/>
    <x v="113"/>
    <x v="1"/>
  </r>
  <r>
    <x v="0"/>
    <x v="32"/>
    <x v="32"/>
    <x v="29"/>
    <x v="29"/>
    <x v="29"/>
    <x v="18"/>
    <x v="41"/>
    <x v="118"/>
    <x v="33"/>
    <x v="381"/>
    <x v="44"/>
    <x v="291"/>
    <x v="1"/>
  </r>
  <r>
    <x v="0"/>
    <x v="32"/>
    <x v="32"/>
    <x v="24"/>
    <x v="24"/>
    <x v="24"/>
    <x v="19"/>
    <x v="67"/>
    <x v="159"/>
    <x v="44"/>
    <x v="382"/>
    <x v="43"/>
    <x v="71"/>
    <x v="1"/>
  </r>
  <r>
    <x v="0"/>
    <x v="32"/>
    <x v="32"/>
    <x v="20"/>
    <x v="20"/>
    <x v="20"/>
    <x v="19"/>
    <x v="67"/>
    <x v="159"/>
    <x v="91"/>
    <x v="29"/>
    <x v="40"/>
    <x v="121"/>
    <x v="1"/>
  </r>
  <r>
    <x v="0"/>
    <x v="33"/>
    <x v="33"/>
    <x v="1"/>
    <x v="1"/>
    <x v="1"/>
    <x v="0"/>
    <x v="84"/>
    <x v="51"/>
    <x v="48"/>
    <x v="56"/>
    <x v="139"/>
    <x v="292"/>
    <x v="1"/>
  </r>
  <r>
    <x v="0"/>
    <x v="33"/>
    <x v="33"/>
    <x v="0"/>
    <x v="0"/>
    <x v="0"/>
    <x v="1"/>
    <x v="112"/>
    <x v="251"/>
    <x v="124"/>
    <x v="383"/>
    <x v="77"/>
    <x v="252"/>
    <x v="1"/>
  </r>
  <r>
    <x v="0"/>
    <x v="33"/>
    <x v="33"/>
    <x v="4"/>
    <x v="4"/>
    <x v="4"/>
    <x v="2"/>
    <x v="173"/>
    <x v="146"/>
    <x v="92"/>
    <x v="384"/>
    <x v="77"/>
    <x v="252"/>
    <x v="1"/>
  </r>
  <r>
    <x v="0"/>
    <x v="33"/>
    <x v="33"/>
    <x v="7"/>
    <x v="7"/>
    <x v="7"/>
    <x v="3"/>
    <x v="62"/>
    <x v="20"/>
    <x v="51"/>
    <x v="49"/>
    <x v="70"/>
    <x v="293"/>
    <x v="1"/>
  </r>
  <r>
    <x v="0"/>
    <x v="33"/>
    <x v="33"/>
    <x v="5"/>
    <x v="5"/>
    <x v="5"/>
    <x v="3"/>
    <x v="62"/>
    <x v="20"/>
    <x v="33"/>
    <x v="385"/>
    <x v="87"/>
    <x v="294"/>
    <x v="1"/>
  </r>
  <r>
    <x v="0"/>
    <x v="33"/>
    <x v="33"/>
    <x v="3"/>
    <x v="3"/>
    <x v="3"/>
    <x v="5"/>
    <x v="164"/>
    <x v="252"/>
    <x v="77"/>
    <x v="386"/>
    <x v="52"/>
    <x v="238"/>
    <x v="1"/>
  </r>
  <r>
    <x v="0"/>
    <x v="33"/>
    <x v="33"/>
    <x v="13"/>
    <x v="13"/>
    <x v="13"/>
    <x v="6"/>
    <x v="63"/>
    <x v="253"/>
    <x v="41"/>
    <x v="246"/>
    <x v="56"/>
    <x v="295"/>
    <x v="1"/>
  </r>
  <r>
    <x v="0"/>
    <x v="33"/>
    <x v="33"/>
    <x v="6"/>
    <x v="6"/>
    <x v="6"/>
    <x v="7"/>
    <x v="86"/>
    <x v="67"/>
    <x v="60"/>
    <x v="387"/>
    <x v="41"/>
    <x v="296"/>
    <x v="1"/>
  </r>
  <r>
    <x v="0"/>
    <x v="33"/>
    <x v="33"/>
    <x v="2"/>
    <x v="2"/>
    <x v="2"/>
    <x v="8"/>
    <x v="87"/>
    <x v="149"/>
    <x v="95"/>
    <x v="388"/>
    <x v="101"/>
    <x v="155"/>
    <x v="1"/>
  </r>
  <r>
    <x v="0"/>
    <x v="33"/>
    <x v="33"/>
    <x v="8"/>
    <x v="8"/>
    <x v="8"/>
    <x v="9"/>
    <x v="111"/>
    <x v="24"/>
    <x v="48"/>
    <x v="56"/>
    <x v="58"/>
    <x v="297"/>
    <x v="1"/>
  </r>
  <r>
    <x v="0"/>
    <x v="33"/>
    <x v="33"/>
    <x v="9"/>
    <x v="9"/>
    <x v="9"/>
    <x v="10"/>
    <x v="65"/>
    <x v="44"/>
    <x v="58"/>
    <x v="389"/>
    <x v="59"/>
    <x v="298"/>
    <x v="1"/>
  </r>
  <r>
    <x v="0"/>
    <x v="33"/>
    <x v="33"/>
    <x v="24"/>
    <x v="24"/>
    <x v="24"/>
    <x v="11"/>
    <x v="41"/>
    <x v="45"/>
    <x v="58"/>
    <x v="389"/>
    <x v="92"/>
    <x v="299"/>
    <x v="1"/>
  </r>
  <r>
    <x v="0"/>
    <x v="33"/>
    <x v="33"/>
    <x v="40"/>
    <x v="40"/>
    <x v="40"/>
    <x v="12"/>
    <x v="82"/>
    <x v="69"/>
    <x v="58"/>
    <x v="389"/>
    <x v="60"/>
    <x v="300"/>
    <x v="1"/>
  </r>
  <r>
    <x v="0"/>
    <x v="33"/>
    <x v="33"/>
    <x v="21"/>
    <x v="21"/>
    <x v="21"/>
    <x v="13"/>
    <x v="83"/>
    <x v="89"/>
    <x v="48"/>
    <x v="56"/>
    <x v="60"/>
    <x v="300"/>
    <x v="1"/>
  </r>
  <r>
    <x v="0"/>
    <x v="33"/>
    <x v="33"/>
    <x v="16"/>
    <x v="16"/>
    <x v="16"/>
    <x v="14"/>
    <x v="88"/>
    <x v="58"/>
    <x v="42"/>
    <x v="390"/>
    <x v="60"/>
    <x v="300"/>
    <x v="1"/>
  </r>
  <r>
    <x v="0"/>
    <x v="33"/>
    <x v="33"/>
    <x v="17"/>
    <x v="17"/>
    <x v="17"/>
    <x v="15"/>
    <x v="67"/>
    <x v="241"/>
    <x v="46"/>
    <x v="19"/>
    <x v="83"/>
    <x v="269"/>
    <x v="1"/>
  </r>
  <r>
    <x v="0"/>
    <x v="33"/>
    <x v="33"/>
    <x v="18"/>
    <x v="18"/>
    <x v="18"/>
    <x v="16"/>
    <x v="68"/>
    <x v="80"/>
    <x v="30"/>
    <x v="305"/>
    <x v="78"/>
    <x v="15"/>
    <x v="1"/>
  </r>
  <r>
    <x v="0"/>
    <x v="33"/>
    <x v="33"/>
    <x v="10"/>
    <x v="10"/>
    <x v="10"/>
    <x v="17"/>
    <x v="44"/>
    <x v="13"/>
    <x v="63"/>
    <x v="359"/>
    <x v="50"/>
    <x v="203"/>
    <x v="1"/>
  </r>
  <r>
    <x v="0"/>
    <x v="33"/>
    <x v="33"/>
    <x v="15"/>
    <x v="15"/>
    <x v="15"/>
    <x v="18"/>
    <x v="45"/>
    <x v="170"/>
    <x v="49"/>
    <x v="166"/>
    <x v="52"/>
    <x v="238"/>
    <x v="1"/>
  </r>
  <r>
    <x v="0"/>
    <x v="33"/>
    <x v="33"/>
    <x v="19"/>
    <x v="19"/>
    <x v="19"/>
    <x v="18"/>
    <x v="45"/>
    <x v="170"/>
    <x v="41"/>
    <x v="246"/>
    <x v="82"/>
    <x v="82"/>
    <x v="1"/>
  </r>
  <r>
    <x v="0"/>
    <x v="33"/>
    <x v="33"/>
    <x v="14"/>
    <x v="14"/>
    <x v="14"/>
    <x v="18"/>
    <x v="45"/>
    <x v="170"/>
    <x v="63"/>
    <x v="359"/>
    <x v="77"/>
    <x v="252"/>
    <x v="1"/>
  </r>
  <r>
    <x v="0"/>
    <x v="34"/>
    <x v="34"/>
    <x v="1"/>
    <x v="1"/>
    <x v="1"/>
    <x v="0"/>
    <x v="192"/>
    <x v="254"/>
    <x v="56"/>
    <x v="391"/>
    <x v="81"/>
    <x v="183"/>
    <x v="1"/>
  </r>
  <r>
    <x v="0"/>
    <x v="34"/>
    <x v="34"/>
    <x v="0"/>
    <x v="0"/>
    <x v="0"/>
    <x v="1"/>
    <x v="79"/>
    <x v="255"/>
    <x v="77"/>
    <x v="392"/>
    <x v="41"/>
    <x v="301"/>
    <x v="1"/>
  </r>
  <r>
    <x v="0"/>
    <x v="34"/>
    <x v="34"/>
    <x v="13"/>
    <x v="13"/>
    <x v="13"/>
    <x v="2"/>
    <x v="82"/>
    <x v="86"/>
    <x v="41"/>
    <x v="172"/>
    <x v="75"/>
    <x v="302"/>
    <x v="1"/>
  </r>
  <r>
    <x v="0"/>
    <x v="34"/>
    <x v="34"/>
    <x v="7"/>
    <x v="7"/>
    <x v="7"/>
    <x v="3"/>
    <x v="88"/>
    <x v="19"/>
    <x v="45"/>
    <x v="393"/>
    <x v="42"/>
    <x v="303"/>
    <x v="1"/>
  </r>
  <r>
    <x v="0"/>
    <x v="34"/>
    <x v="34"/>
    <x v="3"/>
    <x v="3"/>
    <x v="3"/>
    <x v="4"/>
    <x v="68"/>
    <x v="21"/>
    <x v="32"/>
    <x v="394"/>
    <x v="89"/>
    <x v="2"/>
    <x v="1"/>
  </r>
  <r>
    <x v="0"/>
    <x v="34"/>
    <x v="34"/>
    <x v="2"/>
    <x v="2"/>
    <x v="2"/>
    <x v="5"/>
    <x v="43"/>
    <x v="78"/>
    <x v="73"/>
    <x v="395"/>
    <x v="101"/>
    <x v="304"/>
    <x v="1"/>
  </r>
  <r>
    <x v="0"/>
    <x v="34"/>
    <x v="34"/>
    <x v="5"/>
    <x v="5"/>
    <x v="5"/>
    <x v="6"/>
    <x v="69"/>
    <x v="22"/>
    <x v="35"/>
    <x v="396"/>
    <x v="47"/>
    <x v="88"/>
    <x v="1"/>
  </r>
  <r>
    <x v="0"/>
    <x v="34"/>
    <x v="34"/>
    <x v="6"/>
    <x v="6"/>
    <x v="6"/>
    <x v="7"/>
    <x v="44"/>
    <x v="67"/>
    <x v="81"/>
    <x v="397"/>
    <x v="57"/>
    <x v="139"/>
    <x v="1"/>
  </r>
  <r>
    <x v="0"/>
    <x v="34"/>
    <x v="34"/>
    <x v="4"/>
    <x v="4"/>
    <x v="4"/>
    <x v="8"/>
    <x v="48"/>
    <x v="89"/>
    <x v="30"/>
    <x v="398"/>
    <x v="89"/>
    <x v="2"/>
    <x v="1"/>
  </r>
  <r>
    <x v="0"/>
    <x v="34"/>
    <x v="34"/>
    <x v="16"/>
    <x v="16"/>
    <x v="16"/>
    <x v="9"/>
    <x v="50"/>
    <x v="29"/>
    <x v="41"/>
    <x v="172"/>
    <x v="45"/>
    <x v="260"/>
    <x v="1"/>
  </r>
  <r>
    <x v="0"/>
    <x v="34"/>
    <x v="34"/>
    <x v="24"/>
    <x v="24"/>
    <x v="24"/>
    <x v="10"/>
    <x v="51"/>
    <x v="212"/>
    <x v="46"/>
    <x v="73"/>
    <x v="49"/>
    <x v="305"/>
    <x v="1"/>
  </r>
  <r>
    <x v="0"/>
    <x v="34"/>
    <x v="34"/>
    <x v="9"/>
    <x v="9"/>
    <x v="9"/>
    <x v="10"/>
    <x v="51"/>
    <x v="212"/>
    <x v="46"/>
    <x v="73"/>
    <x v="49"/>
    <x v="305"/>
    <x v="1"/>
  </r>
  <r>
    <x v="0"/>
    <x v="34"/>
    <x v="34"/>
    <x v="15"/>
    <x v="15"/>
    <x v="15"/>
    <x v="10"/>
    <x v="51"/>
    <x v="212"/>
    <x v="62"/>
    <x v="203"/>
    <x v="66"/>
    <x v="161"/>
    <x v="1"/>
  </r>
  <r>
    <x v="0"/>
    <x v="34"/>
    <x v="34"/>
    <x v="21"/>
    <x v="21"/>
    <x v="21"/>
    <x v="13"/>
    <x v="52"/>
    <x v="93"/>
    <x v="41"/>
    <x v="172"/>
    <x v="49"/>
    <x v="305"/>
    <x v="1"/>
  </r>
  <r>
    <x v="0"/>
    <x v="34"/>
    <x v="34"/>
    <x v="33"/>
    <x v="33"/>
    <x v="33"/>
    <x v="13"/>
    <x v="52"/>
    <x v="93"/>
    <x v="91"/>
    <x v="399"/>
    <x v="90"/>
    <x v="268"/>
    <x v="1"/>
  </r>
  <r>
    <x v="0"/>
    <x v="34"/>
    <x v="34"/>
    <x v="18"/>
    <x v="18"/>
    <x v="18"/>
    <x v="13"/>
    <x v="52"/>
    <x v="93"/>
    <x v="57"/>
    <x v="234"/>
    <x v="72"/>
    <x v="119"/>
    <x v="1"/>
  </r>
  <r>
    <x v="0"/>
    <x v="34"/>
    <x v="34"/>
    <x v="40"/>
    <x v="40"/>
    <x v="40"/>
    <x v="16"/>
    <x v="53"/>
    <x v="83"/>
    <x v="48"/>
    <x v="350"/>
    <x v="77"/>
    <x v="128"/>
    <x v="1"/>
  </r>
  <r>
    <x v="0"/>
    <x v="34"/>
    <x v="34"/>
    <x v="14"/>
    <x v="14"/>
    <x v="14"/>
    <x v="16"/>
    <x v="53"/>
    <x v="83"/>
    <x v="62"/>
    <x v="203"/>
    <x v="57"/>
    <x v="139"/>
    <x v="1"/>
  </r>
  <r>
    <x v="0"/>
    <x v="34"/>
    <x v="34"/>
    <x v="30"/>
    <x v="30"/>
    <x v="30"/>
    <x v="18"/>
    <x v="54"/>
    <x v="170"/>
    <x v="62"/>
    <x v="203"/>
    <x v="72"/>
    <x v="119"/>
    <x v="1"/>
  </r>
  <r>
    <x v="0"/>
    <x v="34"/>
    <x v="34"/>
    <x v="8"/>
    <x v="8"/>
    <x v="8"/>
    <x v="19"/>
    <x v="55"/>
    <x v="256"/>
    <x v="51"/>
    <x v="49"/>
    <x v="50"/>
    <x v="97"/>
    <x v="1"/>
  </r>
  <r>
    <x v="0"/>
    <x v="35"/>
    <x v="35"/>
    <x v="1"/>
    <x v="1"/>
    <x v="1"/>
    <x v="0"/>
    <x v="133"/>
    <x v="257"/>
    <x v="46"/>
    <x v="297"/>
    <x v="24"/>
    <x v="306"/>
    <x v="1"/>
  </r>
  <r>
    <x v="0"/>
    <x v="35"/>
    <x v="35"/>
    <x v="13"/>
    <x v="13"/>
    <x v="13"/>
    <x v="1"/>
    <x v="88"/>
    <x v="225"/>
    <x v="51"/>
    <x v="49"/>
    <x v="60"/>
    <x v="307"/>
    <x v="0"/>
  </r>
  <r>
    <x v="0"/>
    <x v="35"/>
    <x v="35"/>
    <x v="7"/>
    <x v="7"/>
    <x v="7"/>
    <x v="2"/>
    <x v="66"/>
    <x v="112"/>
    <x v="41"/>
    <x v="400"/>
    <x v="92"/>
    <x v="308"/>
    <x v="1"/>
  </r>
  <r>
    <x v="0"/>
    <x v="35"/>
    <x v="35"/>
    <x v="5"/>
    <x v="5"/>
    <x v="5"/>
    <x v="3"/>
    <x v="69"/>
    <x v="204"/>
    <x v="49"/>
    <x v="347"/>
    <x v="77"/>
    <x v="153"/>
    <x v="1"/>
  </r>
  <r>
    <x v="0"/>
    <x v="35"/>
    <x v="35"/>
    <x v="0"/>
    <x v="0"/>
    <x v="0"/>
    <x v="4"/>
    <x v="95"/>
    <x v="258"/>
    <x v="120"/>
    <x v="401"/>
    <x v="41"/>
    <x v="14"/>
    <x v="1"/>
  </r>
  <r>
    <x v="0"/>
    <x v="35"/>
    <x v="35"/>
    <x v="8"/>
    <x v="8"/>
    <x v="8"/>
    <x v="5"/>
    <x v="46"/>
    <x v="189"/>
    <x v="48"/>
    <x v="12"/>
    <x v="64"/>
    <x v="309"/>
    <x v="1"/>
  </r>
  <r>
    <x v="0"/>
    <x v="35"/>
    <x v="35"/>
    <x v="40"/>
    <x v="40"/>
    <x v="40"/>
    <x v="6"/>
    <x v="47"/>
    <x v="259"/>
    <x v="41"/>
    <x v="400"/>
    <x v="46"/>
    <x v="90"/>
    <x v="1"/>
  </r>
  <r>
    <x v="0"/>
    <x v="35"/>
    <x v="35"/>
    <x v="24"/>
    <x v="24"/>
    <x v="24"/>
    <x v="7"/>
    <x v="49"/>
    <x v="24"/>
    <x v="48"/>
    <x v="12"/>
    <x v="62"/>
    <x v="310"/>
    <x v="1"/>
  </r>
  <r>
    <x v="0"/>
    <x v="35"/>
    <x v="35"/>
    <x v="9"/>
    <x v="9"/>
    <x v="9"/>
    <x v="7"/>
    <x v="49"/>
    <x v="24"/>
    <x v="46"/>
    <x v="297"/>
    <x v="48"/>
    <x v="178"/>
    <x v="1"/>
  </r>
  <r>
    <x v="0"/>
    <x v="35"/>
    <x v="35"/>
    <x v="6"/>
    <x v="6"/>
    <x v="6"/>
    <x v="7"/>
    <x v="49"/>
    <x v="24"/>
    <x v="81"/>
    <x v="402"/>
    <x v="51"/>
    <x v="100"/>
    <x v="1"/>
  </r>
  <r>
    <x v="0"/>
    <x v="35"/>
    <x v="35"/>
    <x v="2"/>
    <x v="2"/>
    <x v="2"/>
    <x v="10"/>
    <x v="92"/>
    <x v="102"/>
    <x v="81"/>
    <x v="402"/>
    <x v="89"/>
    <x v="167"/>
    <x v="1"/>
  </r>
  <r>
    <x v="0"/>
    <x v="35"/>
    <x v="35"/>
    <x v="42"/>
    <x v="42"/>
    <x v="42"/>
    <x v="11"/>
    <x v="50"/>
    <x v="45"/>
    <x v="51"/>
    <x v="49"/>
    <x v="48"/>
    <x v="178"/>
    <x v="1"/>
  </r>
  <r>
    <x v="0"/>
    <x v="35"/>
    <x v="35"/>
    <x v="3"/>
    <x v="3"/>
    <x v="3"/>
    <x v="12"/>
    <x v="51"/>
    <x v="117"/>
    <x v="66"/>
    <x v="87"/>
    <x v="86"/>
    <x v="133"/>
    <x v="1"/>
  </r>
  <r>
    <x v="0"/>
    <x v="35"/>
    <x v="35"/>
    <x v="21"/>
    <x v="21"/>
    <x v="21"/>
    <x v="13"/>
    <x v="53"/>
    <x v="151"/>
    <x v="41"/>
    <x v="400"/>
    <x v="87"/>
    <x v="16"/>
    <x v="1"/>
  </r>
  <r>
    <x v="0"/>
    <x v="35"/>
    <x v="35"/>
    <x v="20"/>
    <x v="20"/>
    <x v="20"/>
    <x v="13"/>
    <x v="53"/>
    <x v="151"/>
    <x v="46"/>
    <x v="297"/>
    <x v="50"/>
    <x v="141"/>
    <x v="1"/>
  </r>
  <r>
    <x v="0"/>
    <x v="35"/>
    <x v="35"/>
    <x v="4"/>
    <x v="4"/>
    <x v="4"/>
    <x v="15"/>
    <x v="54"/>
    <x v="9"/>
    <x v="62"/>
    <x v="82"/>
    <x v="72"/>
    <x v="230"/>
    <x v="1"/>
  </r>
  <r>
    <x v="0"/>
    <x v="35"/>
    <x v="35"/>
    <x v="36"/>
    <x v="36"/>
    <x v="36"/>
    <x v="16"/>
    <x v="55"/>
    <x v="106"/>
    <x v="41"/>
    <x v="400"/>
    <x v="77"/>
    <x v="153"/>
    <x v="0"/>
  </r>
  <r>
    <x v="0"/>
    <x v="35"/>
    <x v="35"/>
    <x v="16"/>
    <x v="16"/>
    <x v="16"/>
    <x v="17"/>
    <x v="96"/>
    <x v="14"/>
    <x v="46"/>
    <x v="297"/>
    <x v="78"/>
    <x v="286"/>
    <x v="1"/>
  </r>
  <r>
    <x v="0"/>
    <x v="35"/>
    <x v="35"/>
    <x v="11"/>
    <x v="11"/>
    <x v="11"/>
    <x v="17"/>
    <x v="96"/>
    <x v="14"/>
    <x v="46"/>
    <x v="297"/>
    <x v="78"/>
    <x v="286"/>
    <x v="1"/>
  </r>
  <r>
    <x v="0"/>
    <x v="35"/>
    <x v="35"/>
    <x v="15"/>
    <x v="15"/>
    <x v="15"/>
    <x v="19"/>
    <x v="193"/>
    <x v="141"/>
    <x v="42"/>
    <x v="403"/>
    <x v="52"/>
    <x v="163"/>
    <x v="1"/>
  </r>
  <r>
    <x v="0"/>
    <x v="35"/>
    <x v="35"/>
    <x v="14"/>
    <x v="14"/>
    <x v="14"/>
    <x v="19"/>
    <x v="193"/>
    <x v="141"/>
    <x v="48"/>
    <x v="12"/>
    <x v="57"/>
    <x v="60"/>
    <x v="1"/>
  </r>
  <r>
    <x v="0"/>
    <x v="36"/>
    <x v="36"/>
    <x v="0"/>
    <x v="0"/>
    <x v="0"/>
    <x v="0"/>
    <x v="194"/>
    <x v="260"/>
    <x v="122"/>
    <x v="404"/>
    <x v="87"/>
    <x v="274"/>
    <x v="1"/>
  </r>
  <r>
    <x v="0"/>
    <x v="36"/>
    <x v="36"/>
    <x v="1"/>
    <x v="1"/>
    <x v="1"/>
    <x v="1"/>
    <x v="72"/>
    <x v="52"/>
    <x v="120"/>
    <x v="178"/>
    <x v="132"/>
    <x v="40"/>
    <x v="1"/>
  </r>
  <r>
    <x v="0"/>
    <x v="36"/>
    <x v="36"/>
    <x v="8"/>
    <x v="8"/>
    <x v="8"/>
    <x v="2"/>
    <x v="186"/>
    <x v="261"/>
    <x v="71"/>
    <x v="123"/>
    <x v="140"/>
    <x v="311"/>
    <x v="1"/>
  </r>
  <r>
    <x v="0"/>
    <x v="36"/>
    <x v="36"/>
    <x v="9"/>
    <x v="9"/>
    <x v="9"/>
    <x v="3"/>
    <x v="108"/>
    <x v="262"/>
    <x v="44"/>
    <x v="97"/>
    <x v="28"/>
    <x v="312"/>
    <x v="1"/>
  </r>
  <r>
    <x v="0"/>
    <x v="36"/>
    <x v="36"/>
    <x v="7"/>
    <x v="7"/>
    <x v="7"/>
    <x v="4"/>
    <x v="195"/>
    <x v="155"/>
    <x v="62"/>
    <x v="405"/>
    <x v="79"/>
    <x v="313"/>
    <x v="1"/>
  </r>
  <r>
    <x v="0"/>
    <x v="36"/>
    <x v="36"/>
    <x v="3"/>
    <x v="3"/>
    <x v="3"/>
    <x v="5"/>
    <x v="150"/>
    <x v="78"/>
    <x v="76"/>
    <x v="406"/>
    <x v="72"/>
    <x v="4"/>
    <x v="1"/>
  </r>
  <r>
    <x v="0"/>
    <x v="36"/>
    <x v="36"/>
    <x v="2"/>
    <x v="2"/>
    <x v="2"/>
    <x v="6"/>
    <x v="133"/>
    <x v="216"/>
    <x v="76"/>
    <x v="406"/>
    <x v="86"/>
    <x v="314"/>
    <x v="1"/>
  </r>
  <r>
    <x v="0"/>
    <x v="36"/>
    <x v="36"/>
    <x v="21"/>
    <x v="21"/>
    <x v="21"/>
    <x v="7"/>
    <x v="105"/>
    <x v="88"/>
    <x v="50"/>
    <x v="86"/>
    <x v="55"/>
    <x v="309"/>
    <x v="1"/>
  </r>
  <r>
    <x v="0"/>
    <x v="36"/>
    <x v="36"/>
    <x v="4"/>
    <x v="4"/>
    <x v="4"/>
    <x v="8"/>
    <x v="78"/>
    <x v="26"/>
    <x v="77"/>
    <x v="253"/>
    <x v="66"/>
    <x v="164"/>
    <x v="1"/>
  </r>
  <r>
    <x v="0"/>
    <x v="36"/>
    <x v="36"/>
    <x v="16"/>
    <x v="16"/>
    <x v="16"/>
    <x v="9"/>
    <x v="63"/>
    <x v="135"/>
    <x v="46"/>
    <x v="26"/>
    <x v="56"/>
    <x v="171"/>
    <x v="1"/>
  </r>
  <r>
    <x v="0"/>
    <x v="36"/>
    <x v="36"/>
    <x v="13"/>
    <x v="13"/>
    <x v="13"/>
    <x v="10"/>
    <x v="79"/>
    <x v="168"/>
    <x v="41"/>
    <x v="92"/>
    <x v="100"/>
    <x v="175"/>
    <x v="1"/>
  </r>
  <r>
    <x v="0"/>
    <x v="36"/>
    <x v="36"/>
    <x v="17"/>
    <x v="17"/>
    <x v="17"/>
    <x v="11"/>
    <x v="80"/>
    <x v="70"/>
    <x v="45"/>
    <x v="8"/>
    <x v="103"/>
    <x v="241"/>
    <x v="1"/>
  </r>
  <r>
    <x v="0"/>
    <x v="36"/>
    <x v="36"/>
    <x v="12"/>
    <x v="12"/>
    <x v="12"/>
    <x v="11"/>
    <x v="80"/>
    <x v="70"/>
    <x v="45"/>
    <x v="8"/>
    <x v="103"/>
    <x v="241"/>
    <x v="1"/>
  </r>
  <r>
    <x v="0"/>
    <x v="36"/>
    <x v="36"/>
    <x v="5"/>
    <x v="5"/>
    <x v="5"/>
    <x v="11"/>
    <x v="80"/>
    <x v="70"/>
    <x v="96"/>
    <x v="407"/>
    <x v="53"/>
    <x v="210"/>
    <x v="1"/>
  </r>
  <r>
    <x v="0"/>
    <x v="36"/>
    <x v="36"/>
    <x v="18"/>
    <x v="18"/>
    <x v="18"/>
    <x v="14"/>
    <x v="64"/>
    <x v="190"/>
    <x v="35"/>
    <x v="408"/>
    <x v="46"/>
    <x v="29"/>
    <x v="1"/>
  </r>
  <r>
    <x v="0"/>
    <x v="36"/>
    <x v="36"/>
    <x v="24"/>
    <x v="24"/>
    <x v="24"/>
    <x v="15"/>
    <x v="86"/>
    <x v="91"/>
    <x v="45"/>
    <x v="8"/>
    <x v="58"/>
    <x v="305"/>
    <x v="1"/>
  </r>
  <r>
    <x v="0"/>
    <x v="36"/>
    <x v="36"/>
    <x v="11"/>
    <x v="11"/>
    <x v="11"/>
    <x v="16"/>
    <x v="111"/>
    <x v="92"/>
    <x v="26"/>
    <x v="187"/>
    <x v="84"/>
    <x v="121"/>
    <x v="1"/>
  </r>
  <r>
    <x v="0"/>
    <x v="36"/>
    <x v="36"/>
    <x v="40"/>
    <x v="40"/>
    <x v="40"/>
    <x v="17"/>
    <x v="40"/>
    <x v="106"/>
    <x v="63"/>
    <x v="11"/>
    <x v="43"/>
    <x v="250"/>
    <x v="1"/>
  </r>
  <r>
    <x v="0"/>
    <x v="36"/>
    <x v="36"/>
    <x v="23"/>
    <x v="23"/>
    <x v="23"/>
    <x v="18"/>
    <x v="41"/>
    <x v="11"/>
    <x v="44"/>
    <x v="97"/>
    <x v="83"/>
    <x v="221"/>
    <x v="1"/>
  </r>
  <r>
    <x v="0"/>
    <x v="36"/>
    <x v="36"/>
    <x v="10"/>
    <x v="10"/>
    <x v="10"/>
    <x v="19"/>
    <x v="66"/>
    <x v="170"/>
    <x v="61"/>
    <x v="409"/>
    <x v="78"/>
    <x v="58"/>
    <x v="1"/>
  </r>
  <r>
    <x v="0"/>
    <x v="36"/>
    <x v="36"/>
    <x v="19"/>
    <x v="19"/>
    <x v="19"/>
    <x v="19"/>
    <x v="66"/>
    <x v="170"/>
    <x v="42"/>
    <x v="96"/>
    <x v="83"/>
    <x v="221"/>
    <x v="1"/>
  </r>
  <r>
    <x v="0"/>
    <x v="37"/>
    <x v="37"/>
    <x v="0"/>
    <x v="0"/>
    <x v="0"/>
    <x v="0"/>
    <x v="152"/>
    <x v="263"/>
    <x v="37"/>
    <x v="410"/>
    <x v="66"/>
    <x v="128"/>
    <x v="1"/>
  </r>
  <r>
    <x v="0"/>
    <x v="37"/>
    <x v="37"/>
    <x v="1"/>
    <x v="1"/>
    <x v="1"/>
    <x v="1"/>
    <x v="94"/>
    <x v="260"/>
    <x v="49"/>
    <x v="411"/>
    <x v="92"/>
    <x v="315"/>
    <x v="1"/>
  </r>
  <r>
    <x v="0"/>
    <x v="37"/>
    <x v="37"/>
    <x v="2"/>
    <x v="2"/>
    <x v="2"/>
    <x v="2"/>
    <x v="86"/>
    <x v="244"/>
    <x v="111"/>
    <x v="412"/>
    <x v="101"/>
    <x v="144"/>
    <x v="1"/>
  </r>
  <r>
    <x v="0"/>
    <x v="37"/>
    <x v="37"/>
    <x v="5"/>
    <x v="5"/>
    <x v="5"/>
    <x v="3"/>
    <x v="87"/>
    <x v="264"/>
    <x v="34"/>
    <x v="413"/>
    <x v="52"/>
    <x v="142"/>
    <x v="0"/>
  </r>
  <r>
    <x v="0"/>
    <x v="37"/>
    <x v="37"/>
    <x v="7"/>
    <x v="7"/>
    <x v="7"/>
    <x v="4"/>
    <x v="68"/>
    <x v="265"/>
    <x v="50"/>
    <x v="12"/>
    <x v="96"/>
    <x v="316"/>
    <x v="1"/>
  </r>
  <r>
    <x v="0"/>
    <x v="37"/>
    <x v="37"/>
    <x v="4"/>
    <x v="4"/>
    <x v="4"/>
    <x v="4"/>
    <x v="68"/>
    <x v="265"/>
    <x v="90"/>
    <x v="414"/>
    <x v="51"/>
    <x v="129"/>
    <x v="1"/>
  </r>
  <r>
    <x v="0"/>
    <x v="37"/>
    <x v="37"/>
    <x v="3"/>
    <x v="3"/>
    <x v="3"/>
    <x v="6"/>
    <x v="89"/>
    <x v="4"/>
    <x v="90"/>
    <x v="414"/>
    <x v="89"/>
    <x v="271"/>
    <x v="1"/>
  </r>
  <r>
    <x v="0"/>
    <x v="37"/>
    <x v="37"/>
    <x v="11"/>
    <x v="11"/>
    <x v="11"/>
    <x v="7"/>
    <x v="42"/>
    <x v="148"/>
    <x v="57"/>
    <x v="415"/>
    <x v="64"/>
    <x v="137"/>
    <x v="1"/>
  </r>
  <r>
    <x v="0"/>
    <x v="37"/>
    <x v="37"/>
    <x v="6"/>
    <x v="6"/>
    <x v="6"/>
    <x v="8"/>
    <x v="43"/>
    <x v="156"/>
    <x v="72"/>
    <x v="416"/>
    <x v="47"/>
    <x v="27"/>
    <x v="1"/>
  </r>
  <r>
    <x v="0"/>
    <x v="37"/>
    <x v="37"/>
    <x v="52"/>
    <x v="52"/>
    <x v="52"/>
    <x v="9"/>
    <x v="95"/>
    <x v="24"/>
    <x v="35"/>
    <x v="254"/>
    <x v="51"/>
    <x v="129"/>
    <x v="1"/>
  </r>
  <r>
    <x v="0"/>
    <x v="37"/>
    <x v="37"/>
    <x v="8"/>
    <x v="8"/>
    <x v="8"/>
    <x v="10"/>
    <x v="46"/>
    <x v="103"/>
    <x v="45"/>
    <x v="345"/>
    <x v="45"/>
    <x v="317"/>
    <x v="1"/>
  </r>
  <r>
    <x v="0"/>
    <x v="37"/>
    <x v="37"/>
    <x v="10"/>
    <x v="10"/>
    <x v="10"/>
    <x v="11"/>
    <x v="47"/>
    <x v="69"/>
    <x v="57"/>
    <x v="415"/>
    <x v="53"/>
    <x v="80"/>
    <x v="1"/>
  </r>
  <r>
    <x v="0"/>
    <x v="37"/>
    <x v="37"/>
    <x v="9"/>
    <x v="9"/>
    <x v="9"/>
    <x v="12"/>
    <x v="48"/>
    <x v="79"/>
    <x v="62"/>
    <x v="287"/>
    <x v="50"/>
    <x v="318"/>
    <x v="1"/>
  </r>
  <r>
    <x v="0"/>
    <x v="37"/>
    <x v="37"/>
    <x v="22"/>
    <x v="22"/>
    <x v="22"/>
    <x v="12"/>
    <x v="48"/>
    <x v="79"/>
    <x v="91"/>
    <x v="417"/>
    <x v="66"/>
    <x v="128"/>
    <x v="1"/>
  </r>
  <r>
    <x v="0"/>
    <x v="37"/>
    <x v="37"/>
    <x v="19"/>
    <x v="19"/>
    <x v="19"/>
    <x v="14"/>
    <x v="49"/>
    <x v="59"/>
    <x v="58"/>
    <x v="64"/>
    <x v="49"/>
    <x v="299"/>
    <x v="1"/>
  </r>
  <r>
    <x v="0"/>
    <x v="37"/>
    <x v="37"/>
    <x v="20"/>
    <x v="20"/>
    <x v="20"/>
    <x v="14"/>
    <x v="49"/>
    <x v="59"/>
    <x v="44"/>
    <x v="418"/>
    <x v="77"/>
    <x v="116"/>
    <x v="1"/>
  </r>
  <r>
    <x v="0"/>
    <x v="37"/>
    <x v="37"/>
    <x v="15"/>
    <x v="15"/>
    <x v="15"/>
    <x v="16"/>
    <x v="92"/>
    <x v="151"/>
    <x v="91"/>
    <x v="417"/>
    <x v="57"/>
    <x v="99"/>
    <x v="1"/>
  </r>
  <r>
    <x v="0"/>
    <x v="37"/>
    <x v="37"/>
    <x v="13"/>
    <x v="13"/>
    <x v="13"/>
    <x v="16"/>
    <x v="92"/>
    <x v="151"/>
    <x v="51"/>
    <x v="49"/>
    <x v="64"/>
    <x v="137"/>
    <x v="1"/>
  </r>
  <r>
    <x v="0"/>
    <x v="37"/>
    <x v="37"/>
    <x v="18"/>
    <x v="18"/>
    <x v="18"/>
    <x v="16"/>
    <x v="92"/>
    <x v="151"/>
    <x v="63"/>
    <x v="197"/>
    <x v="72"/>
    <x v="319"/>
    <x v="1"/>
  </r>
  <r>
    <x v="0"/>
    <x v="37"/>
    <x v="37"/>
    <x v="12"/>
    <x v="12"/>
    <x v="12"/>
    <x v="19"/>
    <x v="51"/>
    <x v="48"/>
    <x v="62"/>
    <x v="287"/>
    <x v="66"/>
    <x v="128"/>
    <x v="1"/>
  </r>
  <r>
    <x v="0"/>
    <x v="38"/>
    <x v="38"/>
    <x v="0"/>
    <x v="0"/>
    <x v="0"/>
    <x v="0"/>
    <x v="196"/>
    <x v="266"/>
    <x v="154"/>
    <x v="419"/>
    <x v="40"/>
    <x v="196"/>
    <x v="1"/>
  </r>
  <r>
    <x v="0"/>
    <x v="38"/>
    <x v="38"/>
    <x v="2"/>
    <x v="2"/>
    <x v="2"/>
    <x v="1"/>
    <x v="187"/>
    <x v="38"/>
    <x v="138"/>
    <x v="302"/>
    <x v="57"/>
    <x v="113"/>
    <x v="1"/>
  </r>
  <r>
    <x v="0"/>
    <x v="38"/>
    <x v="38"/>
    <x v="1"/>
    <x v="1"/>
    <x v="1"/>
    <x v="2"/>
    <x v="109"/>
    <x v="267"/>
    <x v="156"/>
    <x v="232"/>
    <x v="42"/>
    <x v="261"/>
    <x v="1"/>
  </r>
  <r>
    <x v="0"/>
    <x v="38"/>
    <x v="38"/>
    <x v="3"/>
    <x v="3"/>
    <x v="3"/>
    <x v="3"/>
    <x v="74"/>
    <x v="193"/>
    <x v="64"/>
    <x v="420"/>
    <x v="90"/>
    <x v="77"/>
    <x v="1"/>
  </r>
  <r>
    <x v="0"/>
    <x v="38"/>
    <x v="38"/>
    <x v="5"/>
    <x v="5"/>
    <x v="5"/>
    <x v="4"/>
    <x v="195"/>
    <x v="54"/>
    <x v="110"/>
    <x v="183"/>
    <x v="77"/>
    <x v="177"/>
    <x v="1"/>
  </r>
  <r>
    <x v="0"/>
    <x v="38"/>
    <x v="38"/>
    <x v="12"/>
    <x v="12"/>
    <x v="12"/>
    <x v="5"/>
    <x v="105"/>
    <x v="23"/>
    <x v="43"/>
    <x v="421"/>
    <x v="61"/>
    <x v="260"/>
    <x v="1"/>
  </r>
  <r>
    <x v="0"/>
    <x v="38"/>
    <x v="38"/>
    <x v="17"/>
    <x v="17"/>
    <x v="17"/>
    <x v="6"/>
    <x v="62"/>
    <x v="24"/>
    <x v="48"/>
    <x v="80"/>
    <x v="117"/>
    <x v="123"/>
    <x v="1"/>
  </r>
  <r>
    <x v="0"/>
    <x v="38"/>
    <x v="38"/>
    <x v="33"/>
    <x v="33"/>
    <x v="33"/>
    <x v="6"/>
    <x v="62"/>
    <x v="24"/>
    <x v="156"/>
    <x v="232"/>
    <x v="41"/>
    <x v="240"/>
    <x v="1"/>
  </r>
  <r>
    <x v="0"/>
    <x v="38"/>
    <x v="38"/>
    <x v="10"/>
    <x v="10"/>
    <x v="10"/>
    <x v="8"/>
    <x v="77"/>
    <x v="56"/>
    <x v="90"/>
    <x v="113"/>
    <x v="96"/>
    <x v="33"/>
    <x v="1"/>
  </r>
  <r>
    <x v="0"/>
    <x v="38"/>
    <x v="38"/>
    <x v="6"/>
    <x v="6"/>
    <x v="6"/>
    <x v="8"/>
    <x v="77"/>
    <x v="56"/>
    <x v="156"/>
    <x v="232"/>
    <x v="90"/>
    <x v="77"/>
    <x v="1"/>
  </r>
  <r>
    <x v="0"/>
    <x v="38"/>
    <x v="38"/>
    <x v="14"/>
    <x v="14"/>
    <x v="14"/>
    <x v="10"/>
    <x v="63"/>
    <x v="166"/>
    <x v="95"/>
    <x v="273"/>
    <x v="72"/>
    <x v="188"/>
    <x v="1"/>
  </r>
  <r>
    <x v="0"/>
    <x v="38"/>
    <x v="38"/>
    <x v="30"/>
    <x v="30"/>
    <x v="30"/>
    <x v="11"/>
    <x v="91"/>
    <x v="126"/>
    <x v="43"/>
    <x v="421"/>
    <x v="62"/>
    <x v="36"/>
    <x v="1"/>
  </r>
  <r>
    <x v="0"/>
    <x v="38"/>
    <x v="38"/>
    <x v="31"/>
    <x v="31"/>
    <x v="31"/>
    <x v="12"/>
    <x v="87"/>
    <x v="90"/>
    <x v="49"/>
    <x v="422"/>
    <x v="63"/>
    <x v="108"/>
    <x v="1"/>
  </r>
  <r>
    <x v="0"/>
    <x v="38"/>
    <x v="38"/>
    <x v="28"/>
    <x v="28"/>
    <x v="28"/>
    <x v="13"/>
    <x v="41"/>
    <x v="48"/>
    <x v="81"/>
    <x v="225"/>
    <x v="48"/>
    <x v="258"/>
    <x v="1"/>
  </r>
  <r>
    <x v="0"/>
    <x v="38"/>
    <x v="38"/>
    <x v="4"/>
    <x v="4"/>
    <x v="4"/>
    <x v="13"/>
    <x v="41"/>
    <x v="48"/>
    <x v="84"/>
    <x v="311"/>
    <x v="86"/>
    <x v="167"/>
    <x v="1"/>
  </r>
  <r>
    <x v="0"/>
    <x v="38"/>
    <x v="38"/>
    <x v="8"/>
    <x v="8"/>
    <x v="8"/>
    <x v="15"/>
    <x v="83"/>
    <x v="31"/>
    <x v="50"/>
    <x v="299"/>
    <x v="63"/>
    <x v="108"/>
    <x v="1"/>
  </r>
  <r>
    <x v="0"/>
    <x v="38"/>
    <x v="38"/>
    <x v="7"/>
    <x v="7"/>
    <x v="7"/>
    <x v="15"/>
    <x v="83"/>
    <x v="31"/>
    <x v="42"/>
    <x v="59"/>
    <x v="92"/>
    <x v="320"/>
    <x v="1"/>
  </r>
  <r>
    <x v="0"/>
    <x v="38"/>
    <x v="38"/>
    <x v="16"/>
    <x v="16"/>
    <x v="16"/>
    <x v="17"/>
    <x v="88"/>
    <x v="118"/>
    <x v="48"/>
    <x v="80"/>
    <x v="83"/>
    <x v="8"/>
    <x v="1"/>
  </r>
  <r>
    <x v="0"/>
    <x v="38"/>
    <x v="38"/>
    <x v="20"/>
    <x v="20"/>
    <x v="20"/>
    <x v="17"/>
    <x v="88"/>
    <x v="118"/>
    <x v="50"/>
    <x v="299"/>
    <x v="43"/>
    <x v="80"/>
    <x v="1"/>
  </r>
  <r>
    <x v="0"/>
    <x v="38"/>
    <x v="38"/>
    <x v="9"/>
    <x v="9"/>
    <x v="9"/>
    <x v="19"/>
    <x v="66"/>
    <x v="242"/>
    <x v="62"/>
    <x v="343"/>
    <x v="43"/>
    <x v="80"/>
    <x v="1"/>
  </r>
  <r>
    <x v="0"/>
    <x v="39"/>
    <x v="39"/>
    <x v="0"/>
    <x v="0"/>
    <x v="0"/>
    <x v="0"/>
    <x v="133"/>
    <x v="268"/>
    <x v="25"/>
    <x v="423"/>
    <x v="57"/>
    <x v="158"/>
    <x v="1"/>
  </r>
  <r>
    <x v="0"/>
    <x v="39"/>
    <x v="39"/>
    <x v="2"/>
    <x v="2"/>
    <x v="2"/>
    <x v="1"/>
    <x v="94"/>
    <x v="269"/>
    <x v="111"/>
    <x v="424"/>
    <x v="90"/>
    <x v="321"/>
    <x v="1"/>
  </r>
  <r>
    <x v="0"/>
    <x v="39"/>
    <x v="39"/>
    <x v="3"/>
    <x v="3"/>
    <x v="3"/>
    <x v="2"/>
    <x v="81"/>
    <x v="270"/>
    <x v="60"/>
    <x v="362"/>
    <x v="86"/>
    <x v="27"/>
    <x v="1"/>
  </r>
  <r>
    <x v="0"/>
    <x v="39"/>
    <x v="39"/>
    <x v="1"/>
    <x v="1"/>
    <x v="1"/>
    <x v="3"/>
    <x v="66"/>
    <x v="271"/>
    <x v="81"/>
    <x v="425"/>
    <x v="50"/>
    <x v="298"/>
    <x v="1"/>
  </r>
  <r>
    <x v="0"/>
    <x v="39"/>
    <x v="39"/>
    <x v="5"/>
    <x v="5"/>
    <x v="5"/>
    <x v="4"/>
    <x v="45"/>
    <x v="163"/>
    <x v="30"/>
    <x v="426"/>
    <x v="47"/>
    <x v="14"/>
    <x v="1"/>
  </r>
  <r>
    <x v="0"/>
    <x v="39"/>
    <x v="39"/>
    <x v="9"/>
    <x v="9"/>
    <x v="9"/>
    <x v="5"/>
    <x v="46"/>
    <x v="101"/>
    <x v="46"/>
    <x v="61"/>
    <x v="46"/>
    <x v="322"/>
    <x v="1"/>
  </r>
  <r>
    <x v="0"/>
    <x v="39"/>
    <x v="39"/>
    <x v="6"/>
    <x v="6"/>
    <x v="6"/>
    <x v="5"/>
    <x v="46"/>
    <x v="101"/>
    <x v="49"/>
    <x v="427"/>
    <x v="57"/>
    <x v="158"/>
    <x v="1"/>
  </r>
  <r>
    <x v="0"/>
    <x v="39"/>
    <x v="39"/>
    <x v="4"/>
    <x v="4"/>
    <x v="4"/>
    <x v="5"/>
    <x v="46"/>
    <x v="101"/>
    <x v="35"/>
    <x v="183"/>
    <x v="101"/>
    <x v="323"/>
    <x v="1"/>
  </r>
  <r>
    <x v="0"/>
    <x v="39"/>
    <x v="39"/>
    <x v="19"/>
    <x v="19"/>
    <x v="19"/>
    <x v="8"/>
    <x v="47"/>
    <x v="88"/>
    <x v="48"/>
    <x v="277"/>
    <x v="48"/>
    <x v="324"/>
    <x v="1"/>
  </r>
  <r>
    <x v="0"/>
    <x v="39"/>
    <x v="39"/>
    <x v="14"/>
    <x v="14"/>
    <x v="14"/>
    <x v="9"/>
    <x v="92"/>
    <x v="179"/>
    <x v="91"/>
    <x v="197"/>
    <x v="57"/>
    <x v="158"/>
    <x v="1"/>
  </r>
  <r>
    <x v="0"/>
    <x v="39"/>
    <x v="39"/>
    <x v="13"/>
    <x v="13"/>
    <x v="13"/>
    <x v="10"/>
    <x v="50"/>
    <x v="79"/>
    <x v="42"/>
    <x v="44"/>
    <x v="49"/>
    <x v="90"/>
    <x v="1"/>
  </r>
  <r>
    <x v="0"/>
    <x v="39"/>
    <x v="39"/>
    <x v="18"/>
    <x v="18"/>
    <x v="18"/>
    <x v="10"/>
    <x v="50"/>
    <x v="79"/>
    <x v="57"/>
    <x v="136"/>
    <x v="52"/>
    <x v="191"/>
    <x v="1"/>
  </r>
  <r>
    <x v="0"/>
    <x v="39"/>
    <x v="39"/>
    <x v="8"/>
    <x v="8"/>
    <x v="8"/>
    <x v="12"/>
    <x v="51"/>
    <x v="190"/>
    <x v="45"/>
    <x v="428"/>
    <x v="77"/>
    <x v="261"/>
    <x v="1"/>
  </r>
  <r>
    <x v="0"/>
    <x v="39"/>
    <x v="39"/>
    <x v="7"/>
    <x v="7"/>
    <x v="7"/>
    <x v="13"/>
    <x v="53"/>
    <x v="81"/>
    <x v="42"/>
    <x v="44"/>
    <x v="53"/>
    <x v="187"/>
    <x v="1"/>
  </r>
  <r>
    <x v="0"/>
    <x v="39"/>
    <x v="39"/>
    <x v="20"/>
    <x v="20"/>
    <x v="20"/>
    <x v="13"/>
    <x v="53"/>
    <x v="81"/>
    <x v="45"/>
    <x v="428"/>
    <x v="66"/>
    <x v="141"/>
    <x v="1"/>
  </r>
  <r>
    <x v="0"/>
    <x v="39"/>
    <x v="39"/>
    <x v="52"/>
    <x v="52"/>
    <x v="52"/>
    <x v="15"/>
    <x v="54"/>
    <x v="129"/>
    <x v="49"/>
    <x v="427"/>
    <x v="44"/>
    <x v="125"/>
    <x v="1"/>
  </r>
  <r>
    <x v="0"/>
    <x v="39"/>
    <x v="39"/>
    <x v="22"/>
    <x v="22"/>
    <x v="22"/>
    <x v="15"/>
    <x v="54"/>
    <x v="129"/>
    <x v="91"/>
    <x v="197"/>
    <x v="86"/>
    <x v="27"/>
    <x v="1"/>
  </r>
  <r>
    <x v="0"/>
    <x v="39"/>
    <x v="39"/>
    <x v="12"/>
    <x v="12"/>
    <x v="12"/>
    <x v="17"/>
    <x v="55"/>
    <x v="83"/>
    <x v="45"/>
    <x v="428"/>
    <x v="57"/>
    <x v="158"/>
    <x v="1"/>
  </r>
  <r>
    <x v="0"/>
    <x v="39"/>
    <x v="39"/>
    <x v="40"/>
    <x v="40"/>
    <x v="40"/>
    <x v="17"/>
    <x v="55"/>
    <x v="83"/>
    <x v="48"/>
    <x v="277"/>
    <x v="66"/>
    <x v="141"/>
    <x v="1"/>
  </r>
  <r>
    <x v="0"/>
    <x v="39"/>
    <x v="39"/>
    <x v="10"/>
    <x v="10"/>
    <x v="10"/>
    <x v="17"/>
    <x v="55"/>
    <x v="83"/>
    <x v="57"/>
    <x v="136"/>
    <x v="47"/>
    <x v="14"/>
    <x v="1"/>
  </r>
  <r>
    <x v="0"/>
    <x v="40"/>
    <x v="40"/>
    <x v="43"/>
    <x v="43"/>
    <x v="43"/>
    <x v="0"/>
    <x v="132"/>
    <x v="272"/>
    <x v="35"/>
    <x v="399"/>
    <x v="54"/>
    <x v="312"/>
    <x v="1"/>
  </r>
  <r>
    <x v="0"/>
    <x v="40"/>
    <x v="40"/>
    <x v="1"/>
    <x v="1"/>
    <x v="1"/>
    <x v="0"/>
    <x v="132"/>
    <x v="272"/>
    <x v="37"/>
    <x v="429"/>
    <x v="92"/>
    <x v="141"/>
    <x v="1"/>
  </r>
  <r>
    <x v="0"/>
    <x v="40"/>
    <x v="40"/>
    <x v="7"/>
    <x v="7"/>
    <x v="7"/>
    <x v="2"/>
    <x v="133"/>
    <x v="273"/>
    <x v="79"/>
    <x v="430"/>
    <x v="92"/>
    <x v="141"/>
    <x v="1"/>
  </r>
  <r>
    <x v="0"/>
    <x v="40"/>
    <x v="40"/>
    <x v="8"/>
    <x v="8"/>
    <x v="8"/>
    <x v="3"/>
    <x v="173"/>
    <x v="164"/>
    <x v="50"/>
    <x v="62"/>
    <x v="56"/>
    <x v="231"/>
    <x v="1"/>
  </r>
  <r>
    <x v="0"/>
    <x v="40"/>
    <x v="40"/>
    <x v="0"/>
    <x v="0"/>
    <x v="0"/>
    <x v="4"/>
    <x v="164"/>
    <x v="178"/>
    <x v="56"/>
    <x v="72"/>
    <x v="101"/>
    <x v="279"/>
    <x v="1"/>
  </r>
  <r>
    <x v="0"/>
    <x v="40"/>
    <x v="40"/>
    <x v="14"/>
    <x v="14"/>
    <x v="14"/>
    <x v="4"/>
    <x v="164"/>
    <x v="178"/>
    <x v="120"/>
    <x v="234"/>
    <x v="83"/>
    <x v="34"/>
    <x v="1"/>
  </r>
  <r>
    <x v="0"/>
    <x v="40"/>
    <x v="40"/>
    <x v="9"/>
    <x v="9"/>
    <x v="9"/>
    <x v="6"/>
    <x v="63"/>
    <x v="167"/>
    <x v="71"/>
    <x v="431"/>
    <x v="81"/>
    <x v="273"/>
    <x v="1"/>
  </r>
  <r>
    <x v="0"/>
    <x v="40"/>
    <x v="40"/>
    <x v="2"/>
    <x v="2"/>
    <x v="2"/>
    <x v="6"/>
    <x v="63"/>
    <x v="167"/>
    <x v="156"/>
    <x v="129"/>
    <x v="51"/>
    <x v="325"/>
    <x v="1"/>
  </r>
  <r>
    <x v="0"/>
    <x v="40"/>
    <x v="40"/>
    <x v="40"/>
    <x v="40"/>
    <x v="40"/>
    <x v="8"/>
    <x v="79"/>
    <x v="117"/>
    <x v="63"/>
    <x v="432"/>
    <x v="59"/>
    <x v="284"/>
    <x v="1"/>
  </r>
  <r>
    <x v="0"/>
    <x v="40"/>
    <x v="40"/>
    <x v="11"/>
    <x v="11"/>
    <x v="11"/>
    <x v="9"/>
    <x v="87"/>
    <x v="151"/>
    <x v="81"/>
    <x v="417"/>
    <x v="82"/>
    <x v="134"/>
    <x v="1"/>
  </r>
  <r>
    <x v="0"/>
    <x v="40"/>
    <x v="40"/>
    <x v="4"/>
    <x v="4"/>
    <x v="4"/>
    <x v="9"/>
    <x v="87"/>
    <x v="151"/>
    <x v="95"/>
    <x v="433"/>
    <x v="101"/>
    <x v="279"/>
    <x v="1"/>
  </r>
  <r>
    <x v="0"/>
    <x v="40"/>
    <x v="40"/>
    <x v="24"/>
    <x v="24"/>
    <x v="24"/>
    <x v="11"/>
    <x v="111"/>
    <x v="128"/>
    <x v="45"/>
    <x v="434"/>
    <x v="75"/>
    <x v="115"/>
    <x v="1"/>
  </r>
  <r>
    <x v="0"/>
    <x v="40"/>
    <x v="40"/>
    <x v="53"/>
    <x v="53"/>
    <x v="53"/>
    <x v="11"/>
    <x v="111"/>
    <x v="128"/>
    <x v="49"/>
    <x v="203"/>
    <x v="43"/>
    <x v="236"/>
    <x v="1"/>
  </r>
  <r>
    <x v="0"/>
    <x v="40"/>
    <x v="40"/>
    <x v="54"/>
    <x v="54"/>
    <x v="54"/>
    <x v="13"/>
    <x v="41"/>
    <x v="106"/>
    <x v="63"/>
    <x v="432"/>
    <x v="84"/>
    <x v="142"/>
    <x v="1"/>
  </r>
  <r>
    <x v="0"/>
    <x v="40"/>
    <x v="40"/>
    <x v="55"/>
    <x v="55"/>
    <x v="55"/>
    <x v="13"/>
    <x v="41"/>
    <x v="106"/>
    <x v="71"/>
    <x v="431"/>
    <x v="63"/>
    <x v="326"/>
    <x v="1"/>
  </r>
  <r>
    <x v="0"/>
    <x v="40"/>
    <x v="40"/>
    <x v="56"/>
    <x v="56"/>
    <x v="56"/>
    <x v="15"/>
    <x v="88"/>
    <x v="242"/>
    <x v="71"/>
    <x v="431"/>
    <x v="82"/>
    <x v="134"/>
    <x v="1"/>
  </r>
  <r>
    <x v="0"/>
    <x v="40"/>
    <x v="40"/>
    <x v="21"/>
    <x v="21"/>
    <x v="21"/>
    <x v="16"/>
    <x v="67"/>
    <x v="141"/>
    <x v="45"/>
    <x v="434"/>
    <x v="63"/>
    <x v="326"/>
    <x v="1"/>
  </r>
  <r>
    <x v="0"/>
    <x v="40"/>
    <x v="40"/>
    <x v="57"/>
    <x v="57"/>
    <x v="57"/>
    <x v="16"/>
    <x v="67"/>
    <x v="141"/>
    <x v="58"/>
    <x v="208"/>
    <x v="88"/>
    <x v="131"/>
    <x v="1"/>
  </r>
  <r>
    <x v="0"/>
    <x v="40"/>
    <x v="40"/>
    <x v="17"/>
    <x v="17"/>
    <x v="17"/>
    <x v="18"/>
    <x v="68"/>
    <x v="142"/>
    <x v="41"/>
    <x v="92"/>
    <x v="83"/>
    <x v="34"/>
    <x v="1"/>
  </r>
  <r>
    <x v="0"/>
    <x v="40"/>
    <x v="40"/>
    <x v="16"/>
    <x v="16"/>
    <x v="16"/>
    <x v="19"/>
    <x v="43"/>
    <x v="274"/>
    <x v="48"/>
    <x v="73"/>
    <x v="84"/>
    <x v="142"/>
    <x v="1"/>
  </r>
  <r>
    <x v="0"/>
    <x v="40"/>
    <x v="40"/>
    <x v="5"/>
    <x v="5"/>
    <x v="5"/>
    <x v="19"/>
    <x v="43"/>
    <x v="274"/>
    <x v="81"/>
    <x v="417"/>
    <x v="66"/>
    <x v="226"/>
    <x v="1"/>
  </r>
  <r>
    <x v="0"/>
    <x v="41"/>
    <x v="41"/>
    <x v="0"/>
    <x v="0"/>
    <x v="0"/>
    <x v="0"/>
    <x v="159"/>
    <x v="275"/>
    <x v="122"/>
    <x v="435"/>
    <x v="88"/>
    <x v="211"/>
    <x v="1"/>
  </r>
  <r>
    <x v="0"/>
    <x v="41"/>
    <x v="41"/>
    <x v="1"/>
    <x v="1"/>
    <x v="1"/>
    <x v="1"/>
    <x v="194"/>
    <x v="276"/>
    <x v="68"/>
    <x v="65"/>
    <x v="133"/>
    <x v="327"/>
    <x v="1"/>
  </r>
  <r>
    <x v="0"/>
    <x v="41"/>
    <x v="41"/>
    <x v="4"/>
    <x v="4"/>
    <x v="4"/>
    <x v="2"/>
    <x v="171"/>
    <x v="237"/>
    <x v="37"/>
    <x v="436"/>
    <x v="57"/>
    <x v="328"/>
    <x v="1"/>
  </r>
  <r>
    <x v="0"/>
    <x v="41"/>
    <x v="41"/>
    <x v="6"/>
    <x v="6"/>
    <x v="6"/>
    <x v="3"/>
    <x v="85"/>
    <x v="277"/>
    <x v="82"/>
    <x v="437"/>
    <x v="49"/>
    <x v="254"/>
    <x v="1"/>
  </r>
  <r>
    <x v="0"/>
    <x v="41"/>
    <x v="41"/>
    <x v="13"/>
    <x v="13"/>
    <x v="13"/>
    <x v="4"/>
    <x v="78"/>
    <x v="278"/>
    <x v="46"/>
    <x v="438"/>
    <x v="117"/>
    <x v="329"/>
    <x v="1"/>
  </r>
  <r>
    <x v="0"/>
    <x v="41"/>
    <x v="41"/>
    <x v="2"/>
    <x v="2"/>
    <x v="2"/>
    <x v="5"/>
    <x v="94"/>
    <x v="267"/>
    <x v="156"/>
    <x v="388"/>
    <x v="89"/>
    <x v="330"/>
    <x v="1"/>
  </r>
  <r>
    <x v="0"/>
    <x v="41"/>
    <x v="41"/>
    <x v="3"/>
    <x v="3"/>
    <x v="3"/>
    <x v="5"/>
    <x v="94"/>
    <x v="267"/>
    <x v="92"/>
    <x v="439"/>
    <x v="47"/>
    <x v="199"/>
    <x v="1"/>
  </r>
  <r>
    <x v="0"/>
    <x v="41"/>
    <x v="41"/>
    <x v="5"/>
    <x v="5"/>
    <x v="5"/>
    <x v="7"/>
    <x v="41"/>
    <x v="124"/>
    <x v="40"/>
    <x v="377"/>
    <x v="41"/>
    <x v="94"/>
    <x v="1"/>
  </r>
  <r>
    <x v="0"/>
    <x v="41"/>
    <x v="41"/>
    <x v="7"/>
    <x v="7"/>
    <x v="7"/>
    <x v="8"/>
    <x v="66"/>
    <x v="24"/>
    <x v="46"/>
    <x v="438"/>
    <x v="60"/>
    <x v="331"/>
    <x v="1"/>
  </r>
  <r>
    <x v="0"/>
    <x v="41"/>
    <x v="41"/>
    <x v="19"/>
    <x v="19"/>
    <x v="19"/>
    <x v="9"/>
    <x v="89"/>
    <x v="26"/>
    <x v="48"/>
    <x v="208"/>
    <x v="63"/>
    <x v="332"/>
    <x v="1"/>
  </r>
  <r>
    <x v="0"/>
    <x v="41"/>
    <x v="41"/>
    <x v="9"/>
    <x v="9"/>
    <x v="9"/>
    <x v="10"/>
    <x v="95"/>
    <x v="91"/>
    <x v="45"/>
    <x v="159"/>
    <x v="64"/>
    <x v="189"/>
    <x v="1"/>
  </r>
  <r>
    <x v="0"/>
    <x v="41"/>
    <x v="41"/>
    <x v="8"/>
    <x v="8"/>
    <x v="8"/>
    <x v="10"/>
    <x v="95"/>
    <x v="91"/>
    <x v="46"/>
    <x v="438"/>
    <x v="82"/>
    <x v="59"/>
    <x v="1"/>
  </r>
  <r>
    <x v="0"/>
    <x v="41"/>
    <x v="41"/>
    <x v="31"/>
    <x v="31"/>
    <x v="31"/>
    <x v="10"/>
    <x v="95"/>
    <x v="91"/>
    <x v="91"/>
    <x v="294"/>
    <x v="50"/>
    <x v="131"/>
    <x v="1"/>
  </r>
  <r>
    <x v="0"/>
    <x v="41"/>
    <x v="41"/>
    <x v="18"/>
    <x v="18"/>
    <x v="18"/>
    <x v="13"/>
    <x v="45"/>
    <x v="30"/>
    <x v="49"/>
    <x v="202"/>
    <x v="52"/>
    <x v="216"/>
    <x v="1"/>
  </r>
  <r>
    <x v="0"/>
    <x v="41"/>
    <x v="41"/>
    <x v="12"/>
    <x v="12"/>
    <x v="12"/>
    <x v="14"/>
    <x v="47"/>
    <x v="106"/>
    <x v="71"/>
    <x v="138"/>
    <x v="77"/>
    <x v="206"/>
    <x v="1"/>
  </r>
  <r>
    <x v="0"/>
    <x v="41"/>
    <x v="41"/>
    <x v="40"/>
    <x v="40"/>
    <x v="40"/>
    <x v="14"/>
    <x v="47"/>
    <x v="106"/>
    <x v="71"/>
    <x v="138"/>
    <x v="77"/>
    <x v="206"/>
    <x v="1"/>
  </r>
  <r>
    <x v="0"/>
    <x v="41"/>
    <x v="41"/>
    <x v="15"/>
    <x v="15"/>
    <x v="15"/>
    <x v="14"/>
    <x v="47"/>
    <x v="106"/>
    <x v="26"/>
    <x v="198"/>
    <x v="41"/>
    <x v="94"/>
    <x v="1"/>
  </r>
  <r>
    <x v="0"/>
    <x v="41"/>
    <x v="41"/>
    <x v="10"/>
    <x v="10"/>
    <x v="10"/>
    <x v="17"/>
    <x v="50"/>
    <x v="159"/>
    <x v="71"/>
    <x v="138"/>
    <x v="57"/>
    <x v="328"/>
    <x v="1"/>
  </r>
  <r>
    <x v="0"/>
    <x v="41"/>
    <x v="41"/>
    <x v="24"/>
    <x v="24"/>
    <x v="24"/>
    <x v="18"/>
    <x v="52"/>
    <x v="279"/>
    <x v="48"/>
    <x v="208"/>
    <x v="53"/>
    <x v="236"/>
    <x v="1"/>
  </r>
  <r>
    <x v="0"/>
    <x v="41"/>
    <x v="41"/>
    <x v="36"/>
    <x v="36"/>
    <x v="36"/>
    <x v="18"/>
    <x v="52"/>
    <x v="279"/>
    <x v="42"/>
    <x v="121"/>
    <x v="50"/>
    <x v="131"/>
    <x v="1"/>
  </r>
  <r>
    <x v="0"/>
    <x v="41"/>
    <x v="41"/>
    <x v="22"/>
    <x v="22"/>
    <x v="22"/>
    <x v="18"/>
    <x v="52"/>
    <x v="279"/>
    <x v="71"/>
    <x v="138"/>
    <x v="41"/>
    <x v="94"/>
    <x v="1"/>
  </r>
  <r>
    <x v="0"/>
    <x v="42"/>
    <x v="42"/>
    <x v="1"/>
    <x v="1"/>
    <x v="1"/>
    <x v="0"/>
    <x v="197"/>
    <x v="280"/>
    <x v="157"/>
    <x v="440"/>
    <x v="85"/>
    <x v="7"/>
    <x v="1"/>
  </r>
  <r>
    <x v="0"/>
    <x v="42"/>
    <x v="42"/>
    <x v="7"/>
    <x v="7"/>
    <x v="7"/>
    <x v="1"/>
    <x v="151"/>
    <x v="73"/>
    <x v="70"/>
    <x v="441"/>
    <x v="54"/>
    <x v="333"/>
    <x v="1"/>
  </r>
  <r>
    <x v="0"/>
    <x v="42"/>
    <x v="42"/>
    <x v="0"/>
    <x v="0"/>
    <x v="0"/>
    <x v="2"/>
    <x v="126"/>
    <x v="87"/>
    <x v="98"/>
    <x v="439"/>
    <x v="52"/>
    <x v="222"/>
    <x v="1"/>
  </r>
  <r>
    <x v="0"/>
    <x v="42"/>
    <x v="42"/>
    <x v="4"/>
    <x v="4"/>
    <x v="4"/>
    <x v="3"/>
    <x v="108"/>
    <x v="39"/>
    <x v="97"/>
    <x v="442"/>
    <x v="72"/>
    <x v="4"/>
    <x v="1"/>
  </r>
  <r>
    <x v="0"/>
    <x v="42"/>
    <x v="42"/>
    <x v="43"/>
    <x v="43"/>
    <x v="43"/>
    <x v="4"/>
    <x v="85"/>
    <x v="173"/>
    <x v="66"/>
    <x v="443"/>
    <x v="56"/>
    <x v="298"/>
    <x v="1"/>
  </r>
  <r>
    <x v="0"/>
    <x v="42"/>
    <x v="42"/>
    <x v="2"/>
    <x v="2"/>
    <x v="2"/>
    <x v="5"/>
    <x v="153"/>
    <x v="102"/>
    <x v="110"/>
    <x v="444"/>
    <x v="41"/>
    <x v="271"/>
    <x v="1"/>
  </r>
  <r>
    <x v="0"/>
    <x v="42"/>
    <x v="42"/>
    <x v="11"/>
    <x v="11"/>
    <x v="11"/>
    <x v="6"/>
    <x v="105"/>
    <x v="179"/>
    <x v="61"/>
    <x v="445"/>
    <x v="59"/>
    <x v="47"/>
    <x v="1"/>
  </r>
  <r>
    <x v="0"/>
    <x v="42"/>
    <x v="42"/>
    <x v="53"/>
    <x v="53"/>
    <x v="53"/>
    <x v="7"/>
    <x v="173"/>
    <x v="150"/>
    <x v="63"/>
    <x v="137"/>
    <x v="102"/>
    <x v="300"/>
    <x v="1"/>
  </r>
  <r>
    <x v="0"/>
    <x v="42"/>
    <x v="42"/>
    <x v="8"/>
    <x v="8"/>
    <x v="8"/>
    <x v="8"/>
    <x v="110"/>
    <x v="180"/>
    <x v="91"/>
    <x v="62"/>
    <x v="71"/>
    <x v="149"/>
    <x v="1"/>
  </r>
  <r>
    <x v="0"/>
    <x v="42"/>
    <x v="42"/>
    <x v="9"/>
    <x v="9"/>
    <x v="9"/>
    <x v="9"/>
    <x v="164"/>
    <x v="47"/>
    <x v="44"/>
    <x v="88"/>
    <x v="102"/>
    <x v="300"/>
    <x v="1"/>
  </r>
  <r>
    <x v="0"/>
    <x v="42"/>
    <x v="42"/>
    <x v="14"/>
    <x v="14"/>
    <x v="14"/>
    <x v="9"/>
    <x v="164"/>
    <x v="47"/>
    <x v="84"/>
    <x v="446"/>
    <x v="49"/>
    <x v="301"/>
    <x v="1"/>
  </r>
  <r>
    <x v="0"/>
    <x v="42"/>
    <x v="42"/>
    <x v="3"/>
    <x v="3"/>
    <x v="3"/>
    <x v="11"/>
    <x v="86"/>
    <x v="93"/>
    <x v="123"/>
    <x v="447"/>
    <x v="57"/>
    <x v="77"/>
    <x v="1"/>
  </r>
  <r>
    <x v="0"/>
    <x v="42"/>
    <x v="42"/>
    <x v="16"/>
    <x v="16"/>
    <x v="16"/>
    <x v="12"/>
    <x v="111"/>
    <x v="13"/>
    <x v="48"/>
    <x v="35"/>
    <x v="58"/>
    <x v="334"/>
    <x v="1"/>
  </r>
  <r>
    <x v="0"/>
    <x v="42"/>
    <x v="42"/>
    <x v="40"/>
    <x v="40"/>
    <x v="40"/>
    <x v="12"/>
    <x v="111"/>
    <x v="13"/>
    <x v="63"/>
    <x v="137"/>
    <x v="42"/>
    <x v="326"/>
    <x v="1"/>
  </r>
  <r>
    <x v="0"/>
    <x v="42"/>
    <x v="42"/>
    <x v="24"/>
    <x v="24"/>
    <x v="24"/>
    <x v="12"/>
    <x v="111"/>
    <x v="13"/>
    <x v="50"/>
    <x v="277"/>
    <x v="60"/>
    <x v="159"/>
    <x v="0"/>
  </r>
  <r>
    <x v="0"/>
    <x v="42"/>
    <x v="42"/>
    <x v="19"/>
    <x v="19"/>
    <x v="19"/>
    <x v="12"/>
    <x v="111"/>
    <x v="13"/>
    <x v="48"/>
    <x v="35"/>
    <x v="58"/>
    <x v="334"/>
    <x v="1"/>
  </r>
  <r>
    <x v="0"/>
    <x v="42"/>
    <x v="42"/>
    <x v="6"/>
    <x v="6"/>
    <x v="6"/>
    <x v="12"/>
    <x v="111"/>
    <x v="13"/>
    <x v="96"/>
    <x v="259"/>
    <x v="57"/>
    <x v="77"/>
    <x v="1"/>
  </r>
  <r>
    <x v="0"/>
    <x v="42"/>
    <x v="42"/>
    <x v="13"/>
    <x v="13"/>
    <x v="13"/>
    <x v="17"/>
    <x v="81"/>
    <x v="32"/>
    <x v="51"/>
    <x v="49"/>
    <x v="103"/>
    <x v="105"/>
    <x v="1"/>
  </r>
  <r>
    <x v="0"/>
    <x v="42"/>
    <x v="42"/>
    <x v="58"/>
    <x v="58"/>
    <x v="58"/>
    <x v="18"/>
    <x v="82"/>
    <x v="159"/>
    <x v="39"/>
    <x v="11"/>
    <x v="48"/>
    <x v="230"/>
    <x v="1"/>
  </r>
  <r>
    <x v="0"/>
    <x v="42"/>
    <x v="42"/>
    <x v="5"/>
    <x v="5"/>
    <x v="5"/>
    <x v="18"/>
    <x v="82"/>
    <x v="159"/>
    <x v="79"/>
    <x v="448"/>
    <x v="66"/>
    <x v="199"/>
    <x v="1"/>
  </r>
  <r>
    <x v="0"/>
    <x v="43"/>
    <x v="43"/>
    <x v="0"/>
    <x v="0"/>
    <x v="0"/>
    <x v="0"/>
    <x v="94"/>
    <x v="281"/>
    <x v="131"/>
    <x v="449"/>
    <x v="57"/>
    <x v="82"/>
    <x v="1"/>
  </r>
  <r>
    <x v="0"/>
    <x v="43"/>
    <x v="43"/>
    <x v="1"/>
    <x v="1"/>
    <x v="1"/>
    <x v="1"/>
    <x v="81"/>
    <x v="282"/>
    <x v="120"/>
    <x v="292"/>
    <x v="40"/>
    <x v="335"/>
    <x v="1"/>
  </r>
  <r>
    <x v="0"/>
    <x v="43"/>
    <x v="43"/>
    <x v="2"/>
    <x v="2"/>
    <x v="2"/>
    <x v="2"/>
    <x v="83"/>
    <x v="175"/>
    <x v="84"/>
    <x v="450"/>
    <x v="89"/>
    <x v="129"/>
    <x v="1"/>
  </r>
  <r>
    <x v="0"/>
    <x v="43"/>
    <x v="43"/>
    <x v="5"/>
    <x v="5"/>
    <x v="5"/>
    <x v="3"/>
    <x v="67"/>
    <x v="283"/>
    <x v="43"/>
    <x v="451"/>
    <x v="47"/>
    <x v="230"/>
    <x v="0"/>
  </r>
  <r>
    <x v="0"/>
    <x v="43"/>
    <x v="43"/>
    <x v="3"/>
    <x v="3"/>
    <x v="3"/>
    <x v="4"/>
    <x v="43"/>
    <x v="267"/>
    <x v="35"/>
    <x v="452"/>
    <x v="90"/>
    <x v="165"/>
    <x v="1"/>
  </r>
  <r>
    <x v="0"/>
    <x v="43"/>
    <x v="43"/>
    <x v="8"/>
    <x v="8"/>
    <x v="8"/>
    <x v="5"/>
    <x v="47"/>
    <x v="148"/>
    <x v="58"/>
    <x v="453"/>
    <x v="45"/>
    <x v="70"/>
    <x v="1"/>
  </r>
  <r>
    <x v="0"/>
    <x v="43"/>
    <x v="43"/>
    <x v="6"/>
    <x v="6"/>
    <x v="6"/>
    <x v="6"/>
    <x v="48"/>
    <x v="66"/>
    <x v="81"/>
    <x v="262"/>
    <x v="86"/>
    <x v="15"/>
    <x v="1"/>
  </r>
  <r>
    <x v="0"/>
    <x v="43"/>
    <x v="43"/>
    <x v="11"/>
    <x v="11"/>
    <x v="11"/>
    <x v="7"/>
    <x v="92"/>
    <x v="157"/>
    <x v="45"/>
    <x v="454"/>
    <x v="50"/>
    <x v="336"/>
    <x v="1"/>
  </r>
  <r>
    <x v="0"/>
    <x v="43"/>
    <x v="43"/>
    <x v="14"/>
    <x v="14"/>
    <x v="14"/>
    <x v="7"/>
    <x v="92"/>
    <x v="157"/>
    <x v="63"/>
    <x v="411"/>
    <x v="72"/>
    <x v="128"/>
    <x v="1"/>
  </r>
  <r>
    <x v="0"/>
    <x v="43"/>
    <x v="43"/>
    <x v="4"/>
    <x v="4"/>
    <x v="4"/>
    <x v="9"/>
    <x v="50"/>
    <x v="102"/>
    <x v="26"/>
    <x v="455"/>
    <x v="51"/>
    <x v="182"/>
    <x v="1"/>
  </r>
  <r>
    <x v="0"/>
    <x v="43"/>
    <x v="43"/>
    <x v="17"/>
    <x v="17"/>
    <x v="17"/>
    <x v="10"/>
    <x v="53"/>
    <x v="59"/>
    <x v="41"/>
    <x v="76"/>
    <x v="87"/>
    <x v="185"/>
    <x v="1"/>
  </r>
  <r>
    <x v="0"/>
    <x v="43"/>
    <x v="43"/>
    <x v="18"/>
    <x v="18"/>
    <x v="18"/>
    <x v="11"/>
    <x v="54"/>
    <x v="80"/>
    <x v="57"/>
    <x v="176"/>
    <x v="90"/>
    <x v="165"/>
    <x v="1"/>
  </r>
  <r>
    <x v="0"/>
    <x v="43"/>
    <x v="43"/>
    <x v="12"/>
    <x v="12"/>
    <x v="12"/>
    <x v="12"/>
    <x v="55"/>
    <x v="105"/>
    <x v="71"/>
    <x v="198"/>
    <x v="86"/>
    <x v="15"/>
    <x v="1"/>
  </r>
  <r>
    <x v="0"/>
    <x v="43"/>
    <x v="43"/>
    <x v="59"/>
    <x v="59"/>
    <x v="59"/>
    <x v="12"/>
    <x v="55"/>
    <x v="105"/>
    <x v="62"/>
    <x v="18"/>
    <x v="41"/>
    <x v="206"/>
    <x v="1"/>
  </r>
  <r>
    <x v="0"/>
    <x v="43"/>
    <x v="43"/>
    <x v="24"/>
    <x v="24"/>
    <x v="24"/>
    <x v="12"/>
    <x v="55"/>
    <x v="105"/>
    <x v="44"/>
    <x v="11"/>
    <x v="72"/>
    <x v="128"/>
    <x v="1"/>
  </r>
  <r>
    <x v="0"/>
    <x v="43"/>
    <x v="43"/>
    <x v="10"/>
    <x v="10"/>
    <x v="10"/>
    <x v="12"/>
    <x v="55"/>
    <x v="105"/>
    <x v="91"/>
    <x v="456"/>
    <x v="51"/>
    <x v="182"/>
    <x v="1"/>
  </r>
  <r>
    <x v="0"/>
    <x v="43"/>
    <x v="43"/>
    <x v="7"/>
    <x v="7"/>
    <x v="7"/>
    <x v="16"/>
    <x v="96"/>
    <x v="31"/>
    <x v="46"/>
    <x v="31"/>
    <x v="78"/>
    <x v="96"/>
    <x v="1"/>
  </r>
  <r>
    <x v="0"/>
    <x v="43"/>
    <x v="43"/>
    <x v="16"/>
    <x v="16"/>
    <x v="16"/>
    <x v="17"/>
    <x v="193"/>
    <x v="49"/>
    <x v="51"/>
    <x v="49"/>
    <x v="77"/>
    <x v="243"/>
    <x v="1"/>
  </r>
  <r>
    <x v="0"/>
    <x v="43"/>
    <x v="43"/>
    <x v="9"/>
    <x v="9"/>
    <x v="9"/>
    <x v="17"/>
    <x v="193"/>
    <x v="49"/>
    <x v="46"/>
    <x v="31"/>
    <x v="66"/>
    <x v="318"/>
    <x v="1"/>
  </r>
  <r>
    <x v="0"/>
    <x v="43"/>
    <x v="43"/>
    <x v="15"/>
    <x v="15"/>
    <x v="15"/>
    <x v="19"/>
    <x v="198"/>
    <x v="171"/>
    <x v="62"/>
    <x v="18"/>
    <x v="86"/>
    <x v="15"/>
    <x v="1"/>
  </r>
  <r>
    <x v="0"/>
    <x v="43"/>
    <x v="43"/>
    <x v="13"/>
    <x v="13"/>
    <x v="13"/>
    <x v="19"/>
    <x v="198"/>
    <x v="171"/>
    <x v="46"/>
    <x v="31"/>
    <x v="52"/>
    <x v="140"/>
    <x v="1"/>
  </r>
  <r>
    <x v="0"/>
    <x v="43"/>
    <x v="43"/>
    <x v="20"/>
    <x v="20"/>
    <x v="20"/>
    <x v="19"/>
    <x v="198"/>
    <x v="171"/>
    <x v="45"/>
    <x v="454"/>
    <x v="90"/>
    <x v="165"/>
    <x v="1"/>
  </r>
  <r>
    <x v="0"/>
    <x v="43"/>
    <x v="43"/>
    <x v="35"/>
    <x v="35"/>
    <x v="35"/>
    <x v="19"/>
    <x v="198"/>
    <x v="171"/>
    <x v="91"/>
    <x v="456"/>
    <x v="44"/>
    <x v="145"/>
    <x v="1"/>
  </r>
  <r>
    <x v="0"/>
    <x v="44"/>
    <x v="44"/>
    <x v="0"/>
    <x v="0"/>
    <x v="0"/>
    <x v="0"/>
    <x v="132"/>
    <x v="284"/>
    <x v="158"/>
    <x v="457"/>
    <x v="72"/>
    <x v="270"/>
    <x v="1"/>
  </r>
  <r>
    <x v="0"/>
    <x v="44"/>
    <x v="44"/>
    <x v="4"/>
    <x v="4"/>
    <x v="4"/>
    <x v="1"/>
    <x v="150"/>
    <x v="282"/>
    <x v="89"/>
    <x v="52"/>
    <x v="47"/>
    <x v="192"/>
    <x v="1"/>
  </r>
  <r>
    <x v="0"/>
    <x v="44"/>
    <x v="44"/>
    <x v="3"/>
    <x v="3"/>
    <x v="3"/>
    <x v="2"/>
    <x v="153"/>
    <x v="285"/>
    <x v="110"/>
    <x v="458"/>
    <x v="41"/>
    <x v="5"/>
    <x v="1"/>
  </r>
  <r>
    <x v="0"/>
    <x v="44"/>
    <x v="44"/>
    <x v="2"/>
    <x v="2"/>
    <x v="2"/>
    <x v="3"/>
    <x v="104"/>
    <x v="286"/>
    <x v="89"/>
    <x v="52"/>
    <x v="89"/>
    <x v="2"/>
    <x v="1"/>
  </r>
  <r>
    <x v="0"/>
    <x v="44"/>
    <x v="44"/>
    <x v="6"/>
    <x v="6"/>
    <x v="6"/>
    <x v="4"/>
    <x v="173"/>
    <x v="270"/>
    <x v="156"/>
    <x v="459"/>
    <x v="52"/>
    <x v="69"/>
    <x v="1"/>
  </r>
  <r>
    <x v="0"/>
    <x v="44"/>
    <x v="44"/>
    <x v="1"/>
    <x v="1"/>
    <x v="1"/>
    <x v="5"/>
    <x v="63"/>
    <x v="52"/>
    <x v="26"/>
    <x v="198"/>
    <x v="92"/>
    <x v="337"/>
    <x v="1"/>
  </r>
  <r>
    <x v="0"/>
    <x v="44"/>
    <x v="44"/>
    <x v="8"/>
    <x v="8"/>
    <x v="8"/>
    <x v="6"/>
    <x v="66"/>
    <x v="55"/>
    <x v="58"/>
    <x v="8"/>
    <x v="42"/>
    <x v="338"/>
    <x v="1"/>
  </r>
  <r>
    <x v="0"/>
    <x v="44"/>
    <x v="44"/>
    <x v="9"/>
    <x v="9"/>
    <x v="9"/>
    <x v="7"/>
    <x v="89"/>
    <x v="165"/>
    <x v="48"/>
    <x v="110"/>
    <x v="63"/>
    <x v="339"/>
    <x v="1"/>
  </r>
  <r>
    <x v="0"/>
    <x v="44"/>
    <x v="44"/>
    <x v="28"/>
    <x v="28"/>
    <x v="28"/>
    <x v="8"/>
    <x v="42"/>
    <x v="25"/>
    <x v="58"/>
    <x v="8"/>
    <x v="84"/>
    <x v="340"/>
    <x v="1"/>
  </r>
  <r>
    <x v="0"/>
    <x v="44"/>
    <x v="44"/>
    <x v="5"/>
    <x v="5"/>
    <x v="5"/>
    <x v="9"/>
    <x v="69"/>
    <x v="69"/>
    <x v="35"/>
    <x v="324"/>
    <x v="47"/>
    <x v="192"/>
    <x v="1"/>
  </r>
  <r>
    <x v="0"/>
    <x v="44"/>
    <x v="44"/>
    <x v="11"/>
    <x v="11"/>
    <x v="11"/>
    <x v="10"/>
    <x v="95"/>
    <x v="70"/>
    <x v="50"/>
    <x v="443"/>
    <x v="62"/>
    <x v="150"/>
    <x v="1"/>
  </r>
  <r>
    <x v="0"/>
    <x v="44"/>
    <x v="44"/>
    <x v="17"/>
    <x v="17"/>
    <x v="17"/>
    <x v="11"/>
    <x v="45"/>
    <x v="127"/>
    <x v="41"/>
    <x v="365"/>
    <x v="82"/>
    <x v="341"/>
    <x v="1"/>
  </r>
  <r>
    <x v="0"/>
    <x v="44"/>
    <x v="44"/>
    <x v="12"/>
    <x v="12"/>
    <x v="12"/>
    <x v="12"/>
    <x v="46"/>
    <x v="80"/>
    <x v="44"/>
    <x v="186"/>
    <x v="62"/>
    <x v="150"/>
    <x v="1"/>
  </r>
  <r>
    <x v="0"/>
    <x v="44"/>
    <x v="44"/>
    <x v="19"/>
    <x v="19"/>
    <x v="19"/>
    <x v="12"/>
    <x v="46"/>
    <x v="80"/>
    <x v="42"/>
    <x v="121"/>
    <x v="40"/>
    <x v="136"/>
    <x v="1"/>
  </r>
  <r>
    <x v="0"/>
    <x v="44"/>
    <x v="44"/>
    <x v="18"/>
    <x v="18"/>
    <x v="18"/>
    <x v="14"/>
    <x v="47"/>
    <x v="9"/>
    <x v="26"/>
    <x v="198"/>
    <x v="41"/>
    <x v="5"/>
    <x v="1"/>
  </r>
  <r>
    <x v="0"/>
    <x v="44"/>
    <x v="44"/>
    <x v="15"/>
    <x v="15"/>
    <x v="15"/>
    <x v="15"/>
    <x v="92"/>
    <x v="14"/>
    <x v="91"/>
    <x v="325"/>
    <x v="57"/>
    <x v="342"/>
    <x v="1"/>
  </r>
  <r>
    <x v="0"/>
    <x v="44"/>
    <x v="44"/>
    <x v="10"/>
    <x v="10"/>
    <x v="10"/>
    <x v="15"/>
    <x v="92"/>
    <x v="14"/>
    <x v="57"/>
    <x v="287"/>
    <x v="66"/>
    <x v="121"/>
    <x v="1"/>
  </r>
  <r>
    <x v="0"/>
    <x v="44"/>
    <x v="44"/>
    <x v="22"/>
    <x v="22"/>
    <x v="22"/>
    <x v="15"/>
    <x v="92"/>
    <x v="14"/>
    <x v="91"/>
    <x v="325"/>
    <x v="57"/>
    <x v="342"/>
    <x v="1"/>
  </r>
  <r>
    <x v="0"/>
    <x v="44"/>
    <x v="44"/>
    <x v="23"/>
    <x v="23"/>
    <x v="23"/>
    <x v="18"/>
    <x v="50"/>
    <x v="33"/>
    <x v="57"/>
    <x v="287"/>
    <x v="52"/>
    <x v="69"/>
    <x v="1"/>
  </r>
  <r>
    <x v="0"/>
    <x v="44"/>
    <x v="44"/>
    <x v="7"/>
    <x v="7"/>
    <x v="7"/>
    <x v="19"/>
    <x v="51"/>
    <x v="171"/>
    <x v="51"/>
    <x v="49"/>
    <x v="45"/>
    <x v="96"/>
    <x v="1"/>
  </r>
  <r>
    <x v="0"/>
    <x v="44"/>
    <x v="44"/>
    <x v="20"/>
    <x v="20"/>
    <x v="20"/>
    <x v="19"/>
    <x v="51"/>
    <x v="171"/>
    <x v="58"/>
    <x v="8"/>
    <x v="53"/>
    <x v="81"/>
    <x v="1"/>
  </r>
  <r>
    <x v="0"/>
    <x v="44"/>
    <x v="44"/>
    <x v="35"/>
    <x v="35"/>
    <x v="35"/>
    <x v="19"/>
    <x v="51"/>
    <x v="171"/>
    <x v="39"/>
    <x v="460"/>
    <x v="101"/>
    <x v="194"/>
    <x v="1"/>
  </r>
  <r>
    <x v="0"/>
    <x v="45"/>
    <x v="45"/>
    <x v="1"/>
    <x v="1"/>
    <x v="1"/>
    <x v="0"/>
    <x v="90"/>
    <x v="287"/>
    <x v="140"/>
    <x v="461"/>
    <x v="41"/>
    <x v="159"/>
    <x v="1"/>
  </r>
  <r>
    <x v="0"/>
    <x v="45"/>
    <x v="45"/>
    <x v="0"/>
    <x v="0"/>
    <x v="0"/>
    <x v="1"/>
    <x v="78"/>
    <x v="288"/>
    <x v="70"/>
    <x v="462"/>
    <x v="51"/>
    <x v="214"/>
    <x v="1"/>
  </r>
  <r>
    <x v="0"/>
    <x v="45"/>
    <x v="45"/>
    <x v="33"/>
    <x v="33"/>
    <x v="33"/>
    <x v="2"/>
    <x v="64"/>
    <x v="73"/>
    <x v="59"/>
    <x v="463"/>
    <x v="101"/>
    <x v="186"/>
    <x v="1"/>
  </r>
  <r>
    <x v="0"/>
    <x v="45"/>
    <x v="45"/>
    <x v="5"/>
    <x v="5"/>
    <x v="5"/>
    <x v="3"/>
    <x v="41"/>
    <x v="52"/>
    <x v="83"/>
    <x v="464"/>
    <x v="89"/>
    <x v="188"/>
    <x v="1"/>
  </r>
  <r>
    <x v="0"/>
    <x v="45"/>
    <x v="45"/>
    <x v="4"/>
    <x v="4"/>
    <x v="4"/>
    <x v="4"/>
    <x v="83"/>
    <x v="271"/>
    <x v="83"/>
    <x v="464"/>
    <x v="44"/>
    <x v="325"/>
    <x v="1"/>
  </r>
  <r>
    <x v="0"/>
    <x v="45"/>
    <x v="45"/>
    <x v="2"/>
    <x v="2"/>
    <x v="2"/>
    <x v="5"/>
    <x v="66"/>
    <x v="75"/>
    <x v="96"/>
    <x v="465"/>
    <x v="101"/>
    <x v="186"/>
    <x v="1"/>
  </r>
  <r>
    <x v="0"/>
    <x v="45"/>
    <x v="45"/>
    <x v="14"/>
    <x v="14"/>
    <x v="14"/>
    <x v="6"/>
    <x v="67"/>
    <x v="289"/>
    <x v="79"/>
    <x v="466"/>
    <x v="41"/>
    <x v="159"/>
    <x v="1"/>
  </r>
  <r>
    <x v="0"/>
    <x v="45"/>
    <x v="45"/>
    <x v="12"/>
    <x v="12"/>
    <x v="12"/>
    <x v="7"/>
    <x v="42"/>
    <x v="147"/>
    <x v="120"/>
    <x v="467"/>
    <x v="66"/>
    <x v="263"/>
    <x v="1"/>
  </r>
  <r>
    <x v="0"/>
    <x v="45"/>
    <x v="45"/>
    <x v="3"/>
    <x v="3"/>
    <x v="3"/>
    <x v="8"/>
    <x v="95"/>
    <x v="273"/>
    <x v="72"/>
    <x v="468"/>
    <x v="89"/>
    <x v="188"/>
    <x v="1"/>
  </r>
  <r>
    <x v="0"/>
    <x v="45"/>
    <x v="45"/>
    <x v="7"/>
    <x v="7"/>
    <x v="7"/>
    <x v="9"/>
    <x v="47"/>
    <x v="7"/>
    <x v="39"/>
    <x v="274"/>
    <x v="90"/>
    <x v="258"/>
    <x v="1"/>
  </r>
  <r>
    <x v="0"/>
    <x v="45"/>
    <x v="45"/>
    <x v="11"/>
    <x v="11"/>
    <x v="11"/>
    <x v="10"/>
    <x v="48"/>
    <x v="103"/>
    <x v="63"/>
    <x v="203"/>
    <x v="52"/>
    <x v="233"/>
    <x v="1"/>
  </r>
  <r>
    <x v="0"/>
    <x v="45"/>
    <x v="45"/>
    <x v="6"/>
    <x v="6"/>
    <x v="6"/>
    <x v="10"/>
    <x v="48"/>
    <x v="103"/>
    <x v="30"/>
    <x v="469"/>
    <x v="89"/>
    <x v="188"/>
    <x v="1"/>
  </r>
  <r>
    <x v="0"/>
    <x v="45"/>
    <x v="45"/>
    <x v="28"/>
    <x v="28"/>
    <x v="28"/>
    <x v="12"/>
    <x v="50"/>
    <x v="27"/>
    <x v="45"/>
    <x v="135"/>
    <x v="53"/>
    <x v="343"/>
    <x v="1"/>
  </r>
  <r>
    <x v="0"/>
    <x v="45"/>
    <x v="45"/>
    <x v="24"/>
    <x v="24"/>
    <x v="24"/>
    <x v="13"/>
    <x v="52"/>
    <x v="81"/>
    <x v="62"/>
    <x v="79"/>
    <x v="52"/>
    <x v="233"/>
    <x v="1"/>
  </r>
  <r>
    <x v="0"/>
    <x v="45"/>
    <x v="45"/>
    <x v="8"/>
    <x v="8"/>
    <x v="8"/>
    <x v="14"/>
    <x v="53"/>
    <x v="106"/>
    <x v="45"/>
    <x v="135"/>
    <x v="66"/>
    <x v="263"/>
    <x v="1"/>
  </r>
  <r>
    <x v="0"/>
    <x v="45"/>
    <x v="45"/>
    <x v="15"/>
    <x v="15"/>
    <x v="15"/>
    <x v="14"/>
    <x v="53"/>
    <x v="106"/>
    <x v="63"/>
    <x v="203"/>
    <x v="86"/>
    <x v="283"/>
    <x v="1"/>
  </r>
  <r>
    <x v="0"/>
    <x v="45"/>
    <x v="45"/>
    <x v="50"/>
    <x v="50"/>
    <x v="50"/>
    <x v="16"/>
    <x v="54"/>
    <x v="14"/>
    <x v="71"/>
    <x v="11"/>
    <x v="47"/>
    <x v="49"/>
    <x v="1"/>
  </r>
  <r>
    <x v="0"/>
    <x v="45"/>
    <x v="45"/>
    <x v="30"/>
    <x v="30"/>
    <x v="30"/>
    <x v="17"/>
    <x v="55"/>
    <x v="34"/>
    <x v="63"/>
    <x v="203"/>
    <x v="89"/>
    <x v="188"/>
    <x v="1"/>
  </r>
  <r>
    <x v="0"/>
    <x v="45"/>
    <x v="45"/>
    <x v="10"/>
    <x v="10"/>
    <x v="10"/>
    <x v="18"/>
    <x v="96"/>
    <x v="159"/>
    <x v="62"/>
    <x v="79"/>
    <x v="90"/>
    <x v="258"/>
    <x v="1"/>
  </r>
  <r>
    <x v="0"/>
    <x v="45"/>
    <x v="45"/>
    <x v="17"/>
    <x v="17"/>
    <x v="17"/>
    <x v="19"/>
    <x v="193"/>
    <x v="274"/>
    <x v="42"/>
    <x v="307"/>
    <x v="52"/>
    <x v="233"/>
    <x v="1"/>
  </r>
  <r>
    <x v="0"/>
    <x v="46"/>
    <x v="46"/>
    <x v="0"/>
    <x v="0"/>
    <x v="0"/>
    <x v="0"/>
    <x v="74"/>
    <x v="290"/>
    <x v="54"/>
    <x v="470"/>
    <x v="72"/>
    <x v="12"/>
    <x v="1"/>
  </r>
  <r>
    <x v="0"/>
    <x v="46"/>
    <x v="46"/>
    <x v="1"/>
    <x v="1"/>
    <x v="1"/>
    <x v="1"/>
    <x v="86"/>
    <x v="291"/>
    <x v="72"/>
    <x v="255"/>
    <x v="48"/>
    <x v="344"/>
    <x v="1"/>
  </r>
  <r>
    <x v="0"/>
    <x v="46"/>
    <x v="46"/>
    <x v="2"/>
    <x v="2"/>
    <x v="2"/>
    <x v="2"/>
    <x v="87"/>
    <x v="251"/>
    <x v="92"/>
    <x v="471"/>
    <x v="141"/>
    <x v="345"/>
    <x v="1"/>
  </r>
  <r>
    <x v="0"/>
    <x v="46"/>
    <x v="46"/>
    <x v="5"/>
    <x v="5"/>
    <x v="5"/>
    <x v="3"/>
    <x v="81"/>
    <x v="292"/>
    <x v="96"/>
    <x v="472"/>
    <x v="72"/>
    <x v="12"/>
    <x v="1"/>
  </r>
  <r>
    <x v="0"/>
    <x v="46"/>
    <x v="46"/>
    <x v="3"/>
    <x v="3"/>
    <x v="3"/>
    <x v="4"/>
    <x v="40"/>
    <x v="293"/>
    <x v="33"/>
    <x v="473"/>
    <x v="101"/>
    <x v="138"/>
    <x v="1"/>
  </r>
  <r>
    <x v="0"/>
    <x v="46"/>
    <x v="46"/>
    <x v="6"/>
    <x v="6"/>
    <x v="6"/>
    <x v="5"/>
    <x v="42"/>
    <x v="227"/>
    <x v="43"/>
    <x v="304"/>
    <x v="51"/>
    <x v="58"/>
    <x v="1"/>
  </r>
  <r>
    <x v="0"/>
    <x v="46"/>
    <x v="46"/>
    <x v="9"/>
    <x v="9"/>
    <x v="9"/>
    <x v="6"/>
    <x v="95"/>
    <x v="189"/>
    <x v="44"/>
    <x v="123"/>
    <x v="48"/>
    <x v="344"/>
    <x v="1"/>
  </r>
  <r>
    <x v="0"/>
    <x v="46"/>
    <x v="46"/>
    <x v="4"/>
    <x v="4"/>
    <x v="4"/>
    <x v="7"/>
    <x v="45"/>
    <x v="66"/>
    <x v="61"/>
    <x v="263"/>
    <x v="51"/>
    <x v="58"/>
    <x v="1"/>
  </r>
  <r>
    <x v="0"/>
    <x v="46"/>
    <x v="46"/>
    <x v="8"/>
    <x v="8"/>
    <x v="8"/>
    <x v="8"/>
    <x v="49"/>
    <x v="166"/>
    <x v="58"/>
    <x v="474"/>
    <x v="49"/>
    <x v="157"/>
    <x v="1"/>
  </r>
  <r>
    <x v="0"/>
    <x v="46"/>
    <x v="46"/>
    <x v="15"/>
    <x v="15"/>
    <x v="15"/>
    <x v="9"/>
    <x v="92"/>
    <x v="69"/>
    <x v="49"/>
    <x v="285"/>
    <x v="47"/>
    <x v="217"/>
    <x v="1"/>
  </r>
  <r>
    <x v="0"/>
    <x v="46"/>
    <x v="46"/>
    <x v="12"/>
    <x v="12"/>
    <x v="12"/>
    <x v="10"/>
    <x v="50"/>
    <x v="168"/>
    <x v="48"/>
    <x v="25"/>
    <x v="87"/>
    <x v="346"/>
    <x v="1"/>
  </r>
  <r>
    <x v="0"/>
    <x v="46"/>
    <x v="46"/>
    <x v="19"/>
    <x v="19"/>
    <x v="19"/>
    <x v="11"/>
    <x v="51"/>
    <x v="90"/>
    <x v="51"/>
    <x v="49"/>
    <x v="45"/>
    <x v="57"/>
    <x v="1"/>
  </r>
  <r>
    <x v="0"/>
    <x v="46"/>
    <x v="46"/>
    <x v="16"/>
    <x v="16"/>
    <x v="16"/>
    <x v="12"/>
    <x v="52"/>
    <x v="28"/>
    <x v="46"/>
    <x v="475"/>
    <x v="87"/>
    <x v="346"/>
    <x v="1"/>
  </r>
  <r>
    <x v="0"/>
    <x v="46"/>
    <x v="46"/>
    <x v="21"/>
    <x v="21"/>
    <x v="21"/>
    <x v="13"/>
    <x v="53"/>
    <x v="105"/>
    <x v="45"/>
    <x v="137"/>
    <x v="66"/>
    <x v="109"/>
    <x v="1"/>
  </r>
  <r>
    <x v="0"/>
    <x v="46"/>
    <x v="46"/>
    <x v="13"/>
    <x v="13"/>
    <x v="13"/>
    <x v="14"/>
    <x v="54"/>
    <x v="93"/>
    <x v="51"/>
    <x v="49"/>
    <x v="50"/>
    <x v="59"/>
    <x v="0"/>
  </r>
  <r>
    <x v="0"/>
    <x v="46"/>
    <x v="46"/>
    <x v="20"/>
    <x v="20"/>
    <x v="20"/>
    <x v="14"/>
    <x v="54"/>
    <x v="93"/>
    <x v="42"/>
    <x v="33"/>
    <x v="77"/>
    <x v="96"/>
    <x v="1"/>
  </r>
  <r>
    <x v="0"/>
    <x v="46"/>
    <x v="46"/>
    <x v="22"/>
    <x v="22"/>
    <x v="22"/>
    <x v="14"/>
    <x v="54"/>
    <x v="93"/>
    <x v="63"/>
    <x v="133"/>
    <x v="51"/>
    <x v="58"/>
    <x v="1"/>
  </r>
  <r>
    <x v="0"/>
    <x v="46"/>
    <x v="46"/>
    <x v="30"/>
    <x v="30"/>
    <x v="30"/>
    <x v="17"/>
    <x v="55"/>
    <x v="242"/>
    <x v="71"/>
    <x v="476"/>
    <x v="86"/>
    <x v="111"/>
    <x v="1"/>
  </r>
  <r>
    <x v="0"/>
    <x v="46"/>
    <x v="46"/>
    <x v="47"/>
    <x v="47"/>
    <x v="47"/>
    <x v="17"/>
    <x v="55"/>
    <x v="242"/>
    <x v="63"/>
    <x v="133"/>
    <x v="89"/>
    <x v="215"/>
    <x v="1"/>
  </r>
  <r>
    <x v="0"/>
    <x v="46"/>
    <x v="46"/>
    <x v="17"/>
    <x v="17"/>
    <x v="17"/>
    <x v="19"/>
    <x v="96"/>
    <x v="141"/>
    <x v="51"/>
    <x v="49"/>
    <x v="53"/>
    <x v="160"/>
    <x v="1"/>
  </r>
  <r>
    <x v="0"/>
    <x v="46"/>
    <x v="46"/>
    <x v="11"/>
    <x v="11"/>
    <x v="11"/>
    <x v="19"/>
    <x v="96"/>
    <x v="141"/>
    <x v="62"/>
    <x v="227"/>
    <x v="90"/>
    <x v="0"/>
    <x v="1"/>
  </r>
  <r>
    <x v="0"/>
    <x v="47"/>
    <x v="47"/>
    <x v="0"/>
    <x v="0"/>
    <x v="0"/>
    <x v="0"/>
    <x v="88"/>
    <x v="219"/>
    <x v="40"/>
    <x v="477"/>
    <x v="51"/>
    <x v="58"/>
    <x v="0"/>
  </r>
  <r>
    <x v="0"/>
    <x v="47"/>
    <x v="47"/>
    <x v="17"/>
    <x v="17"/>
    <x v="17"/>
    <x v="1"/>
    <x v="66"/>
    <x v="37"/>
    <x v="41"/>
    <x v="172"/>
    <x v="92"/>
    <x v="347"/>
    <x v="1"/>
  </r>
  <r>
    <x v="0"/>
    <x v="47"/>
    <x v="47"/>
    <x v="14"/>
    <x v="14"/>
    <x v="14"/>
    <x v="2"/>
    <x v="69"/>
    <x v="98"/>
    <x v="30"/>
    <x v="161"/>
    <x v="72"/>
    <x v="12"/>
    <x v="1"/>
  </r>
  <r>
    <x v="0"/>
    <x v="47"/>
    <x v="47"/>
    <x v="2"/>
    <x v="2"/>
    <x v="2"/>
    <x v="3"/>
    <x v="44"/>
    <x v="114"/>
    <x v="78"/>
    <x v="478"/>
    <x v="89"/>
    <x v="215"/>
    <x v="1"/>
  </r>
  <r>
    <x v="0"/>
    <x v="47"/>
    <x v="47"/>
    <x v="4"/>
    <x v="4"/>
    <x v="4"/>
    <x v="4"/>
    <x v="46"/>
    <x v="4"/>
    <x v="78"/>
    <x v="478"/>
    <x v="141"/>
    <x v="345"/>
    <x v="1"/>
  </r>
  <r>
    <x v="0"/>
    <x v="47"/>
    <x v="47"/>
    <x v="12"/>
    <x v="12"/>
    <x v="12"/>
    <x v="5"/>
    <x v="47"/>
    <x v="294"/>
    <x v="63"/>
    <x v="247"/>
    <x v="66"/>
    <x v="109"/>
    <x v="1"/>
  </r>
  <r>
    <x v="0"/>
    <x v="47"/>
    <x v="47"/>
    <x v="11"/>
    <x v="11"/>
    <x v="11"/>
    <x v="6"/>
    <x v="48"/>
    <x v="259"/>
    <x v="26"/>
    <x v="479"/>
    <x v="90"/>
    <x v="0"/>
    <x v="1"/>
  </r>
  <r>
    <x v="0"/>
    <x v="47"/>
    <x v="47"/>
    <x v="16"/>
    <x v="16"/>
    <x v="16"/>
    <x v="7"/>
    <x v="50"/>
    <x v="25"/>
    <x v="62"/>
    <x v="286"/>
    <x v="78"/>
    <x v="17"/>
    <x v="1"/>
  </r>
  <r>
    <x v="0"/>
    <x v="47"/>
    <x v="47"/>
    <x v="5"/>
    <x v="5"/>
    <x v="5"/>
    <x v="7"/>
    <x v="50"/>
    <x v="25"/>
    <x v="39"/>
    <x v="480"/>
    <x v="89"/>
    <x v="215"/>
    <x v="1"/>
  </r>
  <r>
    <x v="0"/>
    <x v="47"/>
    <x v="47"/>
    <x v="9"/>
    <x v="9"/>
    <x v="9"/>
    <x v="9"/>
    <x v="51"/>
    <x v="167"/>
    <x v="45"/>
    <x v="200"/>
    <x v="77"/>
    <x v="96"/>
    <x v="1"/>
  </r>
  <r>
    <x v="0"/>
    <x v="47"/>
    <x v="47"/>
    <x v="8"/>
    <x v="8"/>
    <x v="8"/>
    <x v="10"/>
    <x v="52"/>
    <x v="79"/>
    <x v="48"/>
    <x v="474"/>
    <x v="53"/>
    <x v="160"/>
    <x v="1"/>
  </r>
  <r>
    <x v="0"/>
    <x v="47"/>
    <x v="47"/>
    <x v="15"/>
    <x v="15"/>
    <x v="15"/>
    <x v="10"/>
    <x v="52"/>
    <x v="79"/>
    <x v="62"/>
    <x v="286"/>
    <x v="52"/>
    <x v="348"/>
    <x v="1"/>
  </r>
  <r>
    <x v="0"/>
    <x v="47"/>
    <x v="47"/>
    <x v="6"/>
    <x v="6"/>
    <x v="6"/>
    <x v="10"/>
    <x v="52"/>
    <x v="79"/>
    <x v="80"/>
    <x v="265"/>
    <x v="86"/>
    <x v="111"/>
    <x v="1"/>
  </r>
  <r>
    <x v="0"/>
    <x v="47"/>
    <x v="47"/>
    <x v="3"/>
    <x v="3"/>
    <x v="3"/>
    <x v="10"/>
    <x v="52"/>
    <x v="79"/>
    <x v="49"/>
    <x v="455"/>
    <x v="89"/>
    <x v="215"/>
    <x v="1"/>
  </r>
  <r>
    <x v="0"/>
    <x v="47"/>
    <x v="47"/>
    <x v="43"/>
    <x v="43"/>
    <x v="43"/>
    <x v="14"/>
    <x v="53"/>
    <x v="190"/>
    <x v="48"/>
    <x v="474"/>
    <x v="77"/>
    <x v="96"/>
    <x v="1"/>
  </r>
  <r>
    <x v="0"/>
    <x v="47"/>
    <x v="47"/>
    <x v="23"/>
    <x v="23"/>
    <x v="23"/>
    <x v="15"/>
    <x v="54"/>
    <x v="28"/>
    <x v="44"/>
    <x v="276"/>
    <x v="57"/>
    <x v="196"/>
    <x v="1"/>
  </r>
  <r>
    <x v="0"/>
    <x v="47"/>
    <x v="47"/>
    <x v="21"/>
    <x v="21"/>
    <x v="21"/>
    <x v="16"/>
    <x v="193"/>
    <x v="158"/>
    <x v="42"/>
    <x v="7"/>
    <x v="52"/>
    <x v="348"/>
    <x v="1"/>
  </r>
  <r>
    <x v="0"/>
    <x v="47"/>
    <x v="47"/>
    <x v="10"/>
    <x v="10"/>
    <x v="10"/>
    <x v="16"/>
    <x v="193"/>
    <x v="158"/>
    <x v="57"/>
    <x v="421"/>
    <x v="51"/>
    <x v="58"/>
    <x v="1"/>
  </r>
  <r>
    <x v="0"/>
    <x v="47"/>
    <x v="47"/>
    <x v="53"/>
    <x v="53"/>
    <x v="53"/>
    <x v="18"/>
    <x v="198"/>
    <x v="142"/>
    <x v="41"/>
    <x v="172"/>
    <x v="66"/>
    <x v="109"/>
    <x v="1"/>
  </r>
  <r>
    <x v="0"/>
    <x v="47"/>
    <x v="47"/>
    <x v="60"/>
    <x v="60"/>
    <x v="60"/>
    <x v="18"/>
    <x v="198"/>
    <x v="142"/>
    <x v="41"/>
    <x v="172"/>
    <x v="66"/>
    <x v="109"/>
    <x v="1"/>
  </r>
  <r>
    <x v="0"/>
    <x v="47"/>
    <x v="47"/>
    <x v="61"/>
    <x v="61"/>
    <x v="61"/>
    <x v="18"/>
    <x v="198"/>
    <x v="142"/>
    <x v="46"/>
    <x v="34"/>
    <x v="52"/>
    <x v="348"/>
    <x v="1"/>
  </r>
  <r>
    <x v="0"/>
    <x v="47"/>
    <x v="47"/>
    <x v="1"/>
    <x v="1"/>
    <x v="1"/>
    <x v="18"/>
    <x v="198"/>
    <x v="142"/>
    <x v="41"/>
    <x v="172"/>
    <x v="66"/>
    <x v="109"/>
    <x v="1"/>
  </r>
  <r>
    <x v="0"/>
    <x v="47"/>
    <x v="47"/>
    <x v="48"/>
    <x v="48"/>
    <x v="48"/>
    <x v="18"/>
    <x v="198"/>
    <x v="142"/>
    <x v="62"/>
    <x v="286"/>
    <x v="86"/>
    <x v="111"/>
    <x v="1"/>
  </r>
  <r>
    <x v="0"/>
    <x v="48"/>
    <x v="48"/>
    <x v="0"/>
    <x v="0"/>
    <x v="0"/>
    <x v="0"/>
    <x v="62"/>
    <x v="144"/>
    <x v="156"/>
    <x v="481"/>
    <x v="41"/>
    <x v="74"/>
    <x v="1"/>
  </r>
  <r>
    <x v="0"/>
    <x v="48"/>
    <x v="48"/>
    <x v="2"/>
    <x v="2"/>
    <x v="2"/>
    <x v="1"/>
    <x v="41"/>
    <x v="247"/>
    <x v="60"/>
    <x v="482"/>
    <x v="101"/>
    <x v="144"/>
    <x v="1"/>
  </r>
  <r>
    <x v="0"/>
    <x v="48"/>
    <x v="48"/>
    <x v="1"/>
    <x v="1"/>
    <x v="1"/>
    <x v="2"/>
    <x v="82"/>
    <x v="271"/>
    <x v="26"/>
    <x v="483"/>
    <x v="64"/>
    <x v="114"/>
    <x v="1"/>
  </r>
  <r>
    <x v="0"/>
    <x v="48"/>
    <x v="48"/>
    <x v="9"/>
    <x v="9"/>
    <x v="9"/>
    <x v="3"/>
    <x v="42"/>
    <x v="295"/>
    <x v="45"/>
    <x v="431"/>
    <x v="82"/>
    <x v="349"/>
    <x v="1"/>
  </r>
  <r>
    <x v="0"/>
    <x v="48"/>
    <x v="48"/>
    <x v="4"/>
    <x v="4"/>
    <x v="4"/>
    <x v="4"/>
    <x v="43"/>
    <x v="65"/>
    <x v="43"/>
    <x v="484"/>
    <x v="89"/>
    <x v="54"/>
    <x v="1"/>
  </r>
  <r>
    <x v="0"/>
    <x v="48"/>
    <x v="48"/>
    <x v="43"/>
    <x v="43"/>
    <x v="43"/>
    <x v="5"/>
    <x v="69"/>
    <x v="294"/>
    <x v="58"/>
    <x v="29"/>
    <x v="96"/>
    <x v="350"/>
    <x v="1"/>
  </r>
  <r>
    <x v="0"/>
    <x v="48"/>
    <x v="48"/>
    <x v="16"/>
    <x v="16"/>
    <x v="16"/>
    <x v="6"/>
    <x v="45"/>
    <x v="229"/>
    <x v="48"/>
    <x v="97"/>
    <x v="40"/>
    <x v="185"/>
    <x v="1"/>
  </r>
  <r>
    <x v="0"/>
    <x v="48"/>
    <x v="48"/>
    <x v="6"/>
    <x v="6"/>
    <x v="6"/>
    <x v="7"/>
    <x v="48"/>
    <x v="167"/>
    <x v="120"/>
    <x v="485"/>
    <x v="51"/>
    <x v="53"/>
    <x v="1"/>
  </r>
  <r>
    <x v="0"/>
    <x v="48"/>
    <x v="48"/>
    <x v="53"/>
    <x v="53"/>
    <x v="53"/>
    <x v="8"/>
    <x v="92"/>
    <x v="104"/>
    <x v="58"/>
    <x v="29"/>
    <x v="87"/>
    <x v="189"/>
    <x v="1"/>
  </r>
  <r>
    <x v="0"/>
    <x v="48"/>
    <x v="48"/>
    <x v="5"/>
    <x v="5"/>
    <x v="5"/>
    <x v="8"/>
    <x v="92"/>
    <x v="104"/>
    <x v="49"/>
    <x v="486"/>
    <x v="47"/>
    <x v="169"/>
    <x v="1"/>
  </r>
  <r>
    <x v="0"/>
    <x v="48"/>
    <x v="48"/>
    <x v="3"/>
    <x v="3"/>
    <x v="3"/>
    <x v="8"/>
    <x v="92"/>
    <x v="104"/>
    <x v="30"/>
    <x v="487"/>
    <x v="44"/>
    <x v="351"/>
    <x v="1"/>
  </r>
  <r>
    <x v="0"/>
    <x v="48"/>
    <x v="48"/>
    <x v="14"/>
    <x v="14"/>
    <x v="14"/>
    <x v="8"/>
    <x v="92"/>
    <x v="104"/>
    <x v="66"/>
    <x v="427"/>
    <x v="90"/>
    <x v="301"/>
    <x v="1"/>
  </r>
  <r>
    <x v="0"/>
    <x v="48"/>
    <x v="48"/>
    <x v="15"/>
    <x v="15"/>
    <x v="15"/>
    <x v="12"/>
    <x v="50"/>
    <x v="8"/>
    <x v="26"/>
    <x v="483"/>
    <x v="89"/>
    <x v="54"/>
    <x v="0"/>
  </r>
  <r>
    <x v="0"/>
    <x v="48"/>
    <x v="48"/>
    <x v="11"/>
    <x v="11"/>
    <x v="11"/>
    <x v="12"/>
    <x v="50"/>
    <x v="8"/>
    <x v="71"/>
    <x v="202"/>
    <x v="57"/>
    <x v="163"/>
    <x v="1"/>
  </r>
  <r>
    <x v="0"/>
    <x v="48"/>
    <x v="48"/>
    <x v="7"/>
    <x v="7"/>
    <x v="7"/>
    <x v="14"/>
    <x v="53"/>
    <x v="11"/>
    <x v="46"/>
    <x v="307"/>
    <x v="50"/>
    <x v="151"/>
    <x v="1"/>
  </r>
  <r>
    <x v="0"/>
    <x v="48"/>
    <x v="48"/>
    <x v="12"/>
    <x v="12"/>
    <x v="12"/>
    <x v="15"/>
    <x v="54"/>
    <x v="32"/>
    <x v="44"/>
    <x v="264"/>
    <x v="57"/>
    <x v="163"/>
    <x v="1"/>
  </r>
  <r>
    <x v="0"/>
    <x v="48"/>
    <x v="48"/>
    <x v="21"/>
    <x v="21"/>
    <x v="21"/>
    <x v="15"/>
    <x v="54"/>
    <x v="32"/>
    <x v="42"/>
    <x v="250"/>
    <x v="77"/>
    <x v="146"/>
    <x v="1"/>
  </r>
  <r>
    <x v="0"/>
    <x v="48"/>
    <x v="48"/>
    <x v="8"/>
    <x v="8"/>
    <x v="8"/>
    <x v="15"/>
    <x v="54"/>
    <x v="32"/>
    <x v="46"/>
    <x v="307"/>
    <x v="53"/>
    <x v="219"/>
    <x v="1"/>
  </r>
  <r>
    <x v="0"/>
    <x v="48"/>
    <x v="48"/>
    <x v="58"/>
    <x v="58"/>
    <x v="58"/>
    <x v="15"/>
    <x v="54"/>
    <x v="32"/>
    <x v="45"/>
    <x v="431"/>
    <x v="52"/>
    <x v="250"/>
    <x v="1"/>
  </r>
  <r>
    <x v="0"/>
    <x v="48"/>
    <x v="48"/>
    <x v="40"/>
    <x v="40"/>
    <x v="40"/>
    <x v="19"/>
    <x v="55"/>
    <x v="15"/>
    <x v="41"/>
    <x v="160"/>
    <x v="53"/>
    <x v="219"/>
    <x v="1"/>
  </r>
  <r>
    <x v="0"/>
    <x v="49"/>
    <x v="49"/>
    <x v="0"/>
    <x v="0"/>
    <x v="0"/>
    <x v="0"/>
    <x v="199"/>
    <x v="296"/>
    <x v="159"/>
    <x v="488"/>
    <x v="48"/>
    <x v="30"/>
    <x v="1"/>
  </r>
  <r>
    <x v="0"/>
    <x v="49"/>
    <x v="49"/>
    <x v="1"/>
    <x v="1"/>
    <x v="1"/>
    <x v="1"/>
    <x v="60"/>
    <x v="297"/>
    <x v="66"/>
    <x v="359"/>
    <x v="117"/>
    <x v="352"/>
    <x v="1"/>
  </r>
  <r>
    <x v="0"/>
    <x v="49"/>
    <x v="49"/>
    <x v="2"/>
    <x v="2"/>
    <x v="2"/>
    <x v="2"/>
    <x v="61"/>
    <x v="196"/>
    <x v="69"/>
    <x v="489"/>
    <x v="41"/>
    <x v="111"/>
    <x v="1"/>
  </r>
  <r>
    <x v="0"/>
    <x v="49"/>
    <x v="49"/>
    <x v="4"/>
    <x v="4"/>
    <x v="4"/>
    <x v="3"/>
    <x v="173"/>
    <x v="37"/>
    <x v="110"/>
    <x v="490"/>
    <x v="89"/>
    <x v="330"/>
    <x v="1"/>
  </r>
  <r>
    <x v="0"/>
    <x v="49"/>
    <x v="49"/>
    <x v="5"/>
    <x v="5"/>
    <x v="5"/>
    <x v="4"/>
    <x v="62"/>
    <x v="52"/>
    <x v="82"/>
    <x v="270"/>
    <x v="72"/>
    <x v="5"/>
    <x v="1"/>
  </r>
  <r>
    <x v="0"/>
    <x v="49"/>
    <x v="49"/>
    <x v="6"/>
    <x v="6"/>
    <x v="6"/>
    <x v="5"/>
    <x v="87"/>
    <x v="154"/>
    <x v="96"/>
    <x v="491"/>
    <x v="52"/>
    <x v="118"/>
    <x v="1"/>
  </r>
  <r>
    <x v="0"/>
    <x v="49"/>
    <x v="49"/>
    <x v="10"/>
    <x v="10"/>
    <x v="10"/>
    <x v="6"/>
    <x v="41"/>
    <x v="156"/>
    <x v="73"/>
    <x v="232"/>
    <x v="52"/>
    <x v="118"/>
    <x v="1"/>
  </r>
  <r>
    <x v="0"/>
    <x v="49"/>
    <x v="49"/>
    <x v="3"/>
    <x v="3"/>
    <x v="3"/>
    <x v="6"/>
    <x v="41"/>
    <x v="156"/>
    <x v="84"/>
    <x v="344"/>
    <x v="86"/>
    <x v="353"/>
    <x v="1"/>
  </r>
  <r>
    <x v="0"/>
    <x v="49"/>
    <x v="49"/>
    <x v="13"/>
    <x v="13"/>
    <x v="13"/>
    <x v="8"/>
    <x v="82"/>
    <x v="273"/>
    <x v="41"/>
    <x v="141"/>
    <x v="75"/>
    <x v="112"/>
    <x v="1"/>
  </r>
  <r>
    <x v="0"/>
    <x v="49"/>
    <x v="49"/>
    <x v="15"/>
    <x v="15"/>
    <x v="15"/>
    <x v="9"/>
    <x v="83"/>
    <x v="216"/>
    <x v="78"/>
    <x v="273"/>
    <x v="66"/>
    <x v="29"/>
    <x v="1"/>
  </r>
  <r>
    <x v="0"/>
    <x v="49"/>
    <x v="49"/>
    <x v="19"/>
    <x v="19"/>
    <x v="19"/>
    <x v="10"/>
    <x v="89"/>
    <x v="45"/>
    <x v="46"/>
    <x v="267"/>
    <x v="42"/>
    <x v="354"/>
    <x v="1"/>
  </r>
  <r>
    <x v="0"/>
    <x v="49"/>
    <x v="49"/>
    <x v="16"/>
    <x v="16"/>
    <x v="16"/>
    <x v="11"/>
    <x v="69"/>
    <x v="70"/>
    <x v="45"/>
    <x v="97"/>
    <x v="46"/>
    <x v="160"/>
    <x v="1"/>
  </r>
  <r>
    <x v="0"/>
    <x v="49"/>
    <x v="49"/>
    <x v="8"/>
    <x v="8"/>
    <x v="8"/>
    <x v="11"/>
    <x v="69"/>
    <x v="70"/>
    <x v="42"/>
    <x v="307"/>
    <x v="84"/>
    <x v="93"/>
    <x v="1"/>
  </r>
  <r>
    <x v="0"/>
    <x v="49"/>
    <x v="49"/>
    <x v="28"/>
    <x v="28"/>
    <x v="28"/>
    <x v="13"/>
    <x v="45"/>
    <x v="92"/>
    <x v="57"/>
    <x v="226"/>
    <x v="87"/>
    <x v="355"/>
    <x v="1"/>
  </r>
  <r>
    <x v="0"/>
    <x v="49"/>
    <x v="49"/>
    <x v="18"/>
    <x v="18"/>
    <x v="18"/>
    <x v="14"/>
    <x v="46"/>
    <x v="10"/>
    <x v="80"/>
    <x v="492"/>
    <x v="66"/>
    <x v="29"/>
    <x v="1"/>
  </r>
  <r>
    <x v="0"/>
    <x v="49"/>
    <x v="49"/>
    <x v="29"/>
    <x v="29"/>
    <x v="29"/>
    <x v="15"/>
    <x v="47"/>
    <x v="129"/>
    <x v="35"/>
    <x v="486"/>
    <x v="44"/>
    <x v="356"/>
    <x v="1"/>
  </r>
  <r>
    <x v="0"/>
    <x v="49"/>
    <x v="49"/>
    <x v="22"/>
    <x v="22"/>
    <x v="22"/>
    <x v="16"/>
    <x v="48"/>
    <x v="118"/>
    <x v="120"/>
    <x v="314"/>
    <x v="51"/>
    <x v="79"/>
    <x v="1"/>
  </r>
  <r>
    <x v="0"/>
    <x v="49"/>
    <x v="49"/>
    <x v="40"/>
    <x v="40"/>
    <x v="40"/>
    <x v="17"/>
    <x v="49"/>
    <x v="49"/>
    <x v="45"/>
    <x v="97"/>
    <x v="87"/>
    <x v="355"/>
    <x v="1"/>
  </r>
  <r>
    <x v="0"/>
    <x v="49"/>
    <x v="49"/>
    <x v="7"/>
    <x v="7"/>
    <x v="7"/>
    <x v="17"/>
    <x v="49"/>
    <x v="49"/>
    <x v="46"/>
    <x v="267"/>
    <x v="48"/>
    <x v="30"/>
    <x v="1"/>
  </r>
  <r>
    <x v="0"/>
    <x v="49"/>
    <x v="49"/>
    <x v="17"/>
    <x v="17"/>
    <x v="17"/>
    <x v="19"/>
    <x v="50"/>
    <x v="159"/>
    <x v="41"/>
    <x v="141"/>
    <x v="45"/>
    <x v="115"/>
    <x v="1"/>
  </r>
  <r>
    <x v="0"/>
    <x v="49"/>
    <x v="49"/>
    <x v="21"/>
    <x v="21"/>
    <x v="21"/>
    <x v="19"/>
    <x v="50"/>
    <x v="159"/>
    <x v="46"/>
    <x v="267"/>
    <x v="62"/>
    <x v="140"/>
    <x v="1"/>
  </r>
  <r>
    <x v="0"/>
    <x v="49"/>
    <x v="49"/>
    <x v="9"/>
    <x v="9"/>
    <x v="9"/>
    <x v="19"/>
    <x v="50"/>
    <x v="159"/>
    <x v="58"/>
    <x v="372"/>
    <x v="50"/>
    <x v="196"/>
    <x v="1"/>
  </r>
  <r>
    <x v="0"/>
    <x v="50"/>
    <x v="50"/>
    <x v="0"/>
    <x v="0"/>
    <x v="0"/>
    <x v="0"/>
    <x v="79"/>
    <x v="298"/>
    <x v="95"/>
    <x v="493"/>
    <x v="90"/>
    <x v="131"/>
    <x v="1"/>
  </r>
  <r>
    <x v="0"/>
    <x v="50"/>
    <x v="50"/>
    <x v="1"/>
    <x v="1"/>
    <x v="1"/>
    <x v="1"/>
    <x v="65"/>
    <x v="299"/>
    <x v="73"/>
    <x v="342"/>
    <x v="78"/>
    <x v="185"/>
    <x v="1"/>
  </r>
  <r>
    <x v="0"/>
    <x v="50"/>
    <x v="50"/>
    <x v="2"/>
    <x v="2"/>
    <x v="2"/>
    <x v="2"/>
    <x v="46"/>
    <x v="233"/>
    <x v="61"/>
    <x v="494"/>
    <x v="89"/>
    <x v="192"/>
    <x v="1"/>
  </r>
  <r>
    <x v="0"/>
    <x v="50"/>
    <x v="50"/>
    <x v="5"/>
    <x v="5"/>
    <x v="5"/>
    <x v="2"/>
    <x v="46"/>
    <x v="233"/>
    <x v="30"/>
    <x v="495"/>
    <x v="86"/>
    <x v="342"/>
    <x v="1"/>
  </r>
  <r>
    <x v="0"/>
    <x v="50"/>
    <x v="50"/>
    <x v="52"/>
    <x v="52"/>
    <x v="52"/>
    <x v="4"/>
    <x v="48"/>
    <x v="146"/>
    <x v="47"/>
    <x v="190"/>
    <x v="44"/>
    <x v="194"/>
    <x v="0"/>
  </r>
  <r>
    <x v="0"/>
    <x v="50"/>
    <x v="50"/>
    <x v="16"/>
    <x v="16"/>
    <x v="16"/>
    <x v="5"/>
    <x v="52"/>
    <x v="101"/>
    <x v="58"/>
    <x v="431"/>
    <x v="77"/>
    <x v="289"/>
    <x v="1"/>
  </r>
  <r>
    <x v="0"/>
    <x v="50"/>
    <x v="50"/>
    <x v="11"/>
    <x v="11"/>
    <x v="11"/>
    <x v="5"/>
    <x v="52"/>
    <x v="101"/>
    <x v="57"/>
    <x v="496"/>
    <x v="72"/>
    <x v="357"/>
    <x v="1"/>
  </r>
  <r>
    <x v="0"/>
    <x v="50"/>
    <x v="50"/>
    <x v="33"/>
    <x v="33"/>
    <x v="33"/>
    <x v="7"/>
    <x v="54"/>
    <x v="25"/>
    <x v="26"/>
    <x v="105"/>
    <x v="141"/>
    <x v="345"/>
    <x v="1"/>
  </r>
  <r>
    <x v="0"/>
    <x v="50"/>
    <x v="50"/>
    <x v="4"/>
    <x v="4"/>
    <x v="4"/>
    <x v="7"/>
    <x v="54"/>
    <x v="25"/>
    <x v="80"/>
    <x v="195"/>
    <x v="89"/>
    <x v="192"/>
    <x v="1"/>
  </r>
  <r>
    <x v="0"/>
    <x v="50"/>
    <x v="50"/>
    <x v="3"/>
    <x v="3"/>
    <x v="3"/>
    <x v="7"/>
    <x v="54"/>
    <x v="25"/>
    <x v="63"/>
    <x v="497"/>
    <x v="51"/>
    <x v="5"/>
    <x v="1"/>
  </r>
  <r>
    <x v="0"/>
    <x v="50"/>
    <x v="50"/>
    <x v="8"/>
    <x v="8"/>
    <x v="8"/>
    <x v="10"/>
    <x v="193"/>
    <x v="91"/>
    <x v="48"/>
    <x v="244"/>
    <x v="57"/>
    <x v="358"/>
    <x v="1"/>
  </r>
  <r>
    <x v="0"/>
    <x v="50"/>
    <x v="50"/>
    <x v="15"/>
    <x v="15"/>
    <x v="15"/>
    <x v="10"/>
    <x v="193"/>
    <x v="91"/>
    <x v="91"/>
    <x v="446"/>
    <x v="101"/>
    <x v="48"/>
    <x v="1"/>
  </r>
  <r>
    <x v="0"/>
    <x v="50"/>
    <x v="50"/>
    <x v="28"/>
    <x v="28"/>
    <x v="28"/>
    <x v="10"/>
    <x v="193"/>
    <x v="91"/>
    <x v="44"/>
    <x v="43"/>
    <x v="90"/>
    <x v="131"/>
    <x v="1"/>
  </r>
  <r>
    <x v="0"/>
    <x v="50"/>
    <x v="50"/>
    <x v="10"/>
    <x v="10"/>
    <x v="10"/>
    <x v="10"/>
    <x v="193"/>
    <x v="91"/>
    <x v="62"/>
    <x v="36"/>
    <x v="47"/>
    <x v="359"/>
    <x v="1"/>
  </r>
  <r>
    <x v="0"/>
    <x v="50"/>
    <x v="50"/>
    <x v="7"/>
    <x v="7"/>
    <x v="7"/>
    <x v="10"/>
    <x v="193"/>
    <x v="91"/>
    <x v="41"/>
    <x v="59"/>
    <x v="78"/>
    <x v="185"/>
    <x v="1"/>
  </r>
  <r>
    <x v="0"/>
    <x v="50"/>
    <x v="50"/>
    <x v="12"/>
    <x v="12"/>
    <x v="12"/>
    <x v="15"/>
    <x v="198"/>
    <x v="212"/>
    <x v="45"/>
    <x v="498"/>
    <x v="90"/>
    <x v="131"/>
    <x v="1"/>
  </r>
  <r>
    <x v="0"/>
    <x v="50"/>
    <x v="50"/>
    <x v="9"/>
    <x v="9"/>
    <x v="9"/>
    <x v="15"/>
    <x v="198"/>
    <x v="212"/>
    <x v="51"/>
    <x v="49"/>
    <x v="78"/>
    <x v="185"/>
    <x v="1"/>
  </r>
  <r>
    <x v="0"/>
    <x v="50"/>
    <x v="50"/>
    <x v="18"/>
    <x v="18"/>
    <x v="18"/>
    <x v="15"/>
    <x v="198"/>
    <x v="212"/>
    <x v="44"/>
    <x v="43"/>
    <x v="47"/>
    <x v="359"/>
    <x v="1"/>
  </r>
  <r>
    <x v="0"/>
    <x v="50"/>
    <x v="50"/>
    <x v="22"/>
    <x v="22"/>
    <x v="22"/>
    <x v="15"/>
    <x v="198"/>
    <x v="212"/>
    <x v="62"/>
    <x v="36"/>
    <x v="86"/>
    <x v="342"/>
    <x v="1"/>
  </r>
  <r>
    <x v="0"/>
    <x v="50"/>
    <x v="50"/>
    <x v="20"/>
    <x v="20"/>
    <x v="20"/>
    <x v="19"/>
    <x v="200"/>
    <x v="12"/>
    <x v="48"/>
    <x v="244"/>
    <x v="41"/>
    <x v="116"/>
    <x v="1"/>
  </r>
  <r>
    <x v="0"/>
    <x v="50"/>
    <x v="50"/>
    <x v="14"/>
    <x v="14"/>
    <x v="14"/>
    <x v="19"/>
    <x v="200"/>
    <x v="12"/>
    <x v="44"/>
    <x v="43"/>
    <x v="86"/>
    <x v="342"/>
    <x v="1"/>
  </r>
  <r>
    <x v="0"/>
    <x v="51"/>
    <x v="51"/>
    <x v="0"/>
    <x v="0"/>
    <x v="0"/>
    <x v="0"/>
    <x v="95"/>
    <x v="203"/>
    <x v="79"/>
    <x v="499"/>
    <x v="44"/>
    <x v="304"/>
    <x v="1"/>
  </r>
  <r>
    <x v="0"/>
    <x v="51"/>
    <x v="51"/>
    <x v="5"/>
    <x v="5"/>
    <x v="5"/>
    <x v="1"/>
    <x v="45"/>
    <x v="272"/>
    <x v="35"/>
    <x v="500"/>
    <x v="89"/>
    <x v="251"/>
    <x v="1"/>
  </r>
  <r>
    <x v="0"/>
    <x v="51"/>
    <x v="51"/>
    <x v="8"/>
    <x v="8"/>
    <x v="8"/>
    <x v="2"/>
    <x v="46"/>
    <x v="244"/>
    <x v="48"/>
    <x v="501"/>
    <x v="64"/>
    <x v="360"/>
    <x v="1"/>
  </r>
  <r>
    <x v="0"/>
    <x v="51"/>
    <x v="51"/>
    <x v="2"/>
    <x v="2"/>
    <x v="2"/>
    <x v="3"/>
    <x v="49"/>
    <x v="233"/>
    <x v="47"/>
    <x v="502"/>
    <x v="44"/>
    <x v="304"/>
    <x v="1"/>
  </r>
  <r>
    <x v="0"/>
    <x v="51"/>
    <x v="51"/>
    <x v="11"/>
    <x v="11"/>
    <x v="11"/>
    <x v="4"/>
    <x v="50"/>
    <x v="211"/>
    <x v="58"/>
    <x v="43"/>
    <x v="50"/>
    <x v="361"/>
    <x v="1"/>
  </r>
  <r>
    <x v="0"/>
    <x v="51"/>
    <x v="51"/>
    <x v="3"/>
    <x v="3"/>
    <x v="3"/>
    <x v="4"/>
    <x v="50"/>
    <x v="211"/>
    <x v="39"/>
    <x v="50"/>
    <x v="89"/>
    <x v="251"/>
    <x v="1"/>
  </r>
  <r>
    <x v="0"/>
    <x v="51"/>
    <x v="51"/>
    <x v="1"/>
    <x v="1"/>
    <x v="1"/>
    <x v="6"/>
    <x v="53"/>
    <x v="148"/>
    <x v="45"/>
    <x v="170"/>
    <x v="66"/>
    <x v="362"/>
    <x v="1"/>
  </r>
  <r>
    <x v="0"/>
    <x v="51"/>
    <x v="51"/>
    <x v="6"/>
    <x v="6"/>
    <x v="6"/>
    <x v="6"/>
    <x v="53"/>
    <x v="148"/>
    <x v="49"/>
    <x v="75"/>
    <x v="101"/>
    <x v="363"/>
    <x v="1"/>
  </r>
  <r>
    <x v="0"/>
    <x v="51"/>
    <x v="51"/>
    <x v="9"/>
    <x v="9"/>
    <x v="9"/>
    <x v="8"/>
    <x v="54"/>
    <x v="23"/>
    <x v="42"/>
    <x v="338"/>
    <x v="77"/>
    <x v="364"/>
    <x v="1"/>
  </r>
  <r>
    <x v="0"/>
    <x v="51"/>
    <x v="51"/>
    <x v="21"/>
    <x v="21"/>
    <x v="21"/>
    <x v="9"/>
    <x v="193"/>
    <x v="135"/>
    <x v="48"/>
    <x v="501"/>
    <x v="57"/>
    <x v="9"/>
    <x v="1"/>
  </r>
  <r>
    <x v="0"/>
    <x v="51"/>
    <x v="51"/>
    <x v="22"/>
    <x v="22"/>
    <x v="22"/>
    <x v="9"/>
    <x v="193"/>
    <x v="135"/>
    <x v="62"/>
    <x v="81"/>
    <x v="47"/>
    <x v="365"/>
    <x v="1"/>
  </r>
  <r>
    <x v="0"/>
    <x v="51"/>
    <x v="51"/>
    <x v="14"/>
    <x v="14"/>
    <x v="14"/>
    <x v="9"/>
    <x v="193"/>
    <x v="135"/>
    <x v="45"/>
    <x v="170"/>
    <x v="41"/>
    <x v="34"/>
    <x v="1"/>
  </r>
  <r>
    <x v="0"/>
    <x v="51"/>
    <x v="51"/>
    <x v="17"/>
    <x v="17"/>
    <x v="17"/>
    <x v="12"/>
    <x v="198"/>
    <x v="59"/>
    <x v="51"/>
    <x v="49"/>
    <x v="78"/>
    <x v="137"/>
    <x v="1"/>
  </r>
  <r>
    <x v="0"/>
    <x v="51"/>
    <x v="51"/>
    <x v="40"/>
    <x v="40"/>
    <x v="40"/>
    <x v="12"/>
    <x v="198"/>
    <x v="59"/>
    <x v="44"/>
    <x v="30"/>
    <x v="47"/>
    <x v="365"/>
    <x v="1"/>
  </r>
  <r>
    <x v="0"/>
    <x v="51"/>
    <x v="51"/>
    <x v="43"/>
    <x v="43"/>
    <x v="43"/>
    <x v="12"/>
    <x v="198"/>
    <x v="59"/>
    <x v="48"/>
    <x v="501"/>
    <x v="72"/>
    <x v="16"/>
    <x v="1"/>
  </r>
  <r>
    <x v="0"/>
    <x v="51"/>
    <x v="51"/>
    <x v="16"/>
    <x v="16"/>
    <x v="16"/>
    <x v="15"/>
    <x v="200"/>
    <x v="29"/>
    <x v="51"/>
    <x v="49"/>
    <x v="66"/>
    <x v="362"/>
    <x v="1"/>
  </r>
  <r>
    <x v="0"/>
    <x v="51"/>
    <x v="51"/>
    <x v="39"/>
    <x v="39"/>
    <x v="39"/>
    <x v="15"/>
    <x v="200"/>
    <x v="29"/>
    <x v="51"/>
    <x v="49"/>
    <x v="141"/>
    <x v="345"/>
    <x v="1"/>
  </r>
  <r>
    <x v="0"/>
    <x v="51"/>
    <x v="51"/>
    <x v="15"/>
    <x v="15"/>
    <x v="15"/>
    <x v="17"/>
    <x v="201"/>
    <x v="106"/>
    <x v="44"/>
    <x v="30"/>
    <x v="51"/>
    <x v="266"/>
    <x v="1"/>
  </r>
  <r>
    <x v="0"/>
    <x v="51"/>
    <x v="51"/>
    <x v="12"/>
    <x v="12"/>
    <x v="12"/>
    <x v="18"/>
    <x v="202"/>
    <x v="158"/>
    <x v="58"/>
    <x v="43"/>
    <x v="86"/>
    <x v="366"/>
    <x v="1"/>
  </r>
  <r>
    <x v="0"/>
    <x v="51"/>
    <x v="51"/>
    <x v="24"/>
    <x v="24"/>
    <x v="24"/>
    <x v="19"/>
    <x v="203"/>
    <x v="35"/>
    <x v="42"/>
    <x v="338"/>
    <x v="47"/>
    <x v="365"/>
    <x v="1"/>
  </r>
  <r>
    <x v="0"/>
    <x v="51"/>
    <x v="51"/>
    <x v="30"/>
    <x v="30"/>
    <x v="30"/>
    <x v="19"/>
    <x v="203"/>
    <x v="35"/>
    <x v="62"/>
    <x v="81"/>
    <x v="44"/>
    <x v="304"/>
    <x v="1"/>
  </r>
  <r>
    <x v="0"/>
    <x v="51"/>
    <x v="51"/>
    <x v="13"/>
    <x v="13"/>
    <x v="13"/>
    <x v="19"/>
    <x v="203"/>
    <x v="35"/>
    <x v="51"/>
    <x v="49"/>
    <x v="72"/>
    <x v="16"/>
    <x v="1"/>
  </r>
  <r>
    <x v="0"/>
    <x v="51"/>
    <x v="51"/>
    <x v="20"/>
    <x v="20"/>
    <x v="20"/>
    <x v="19"/>
    <x v="203"/>
    <x v="35"/>
    <x v="48"/>
    <x v="501"/>
    <x v="86"/>
    <x v="366"/>
    <x v="1"/>
  </r>
  <r>
    <x v="0"/>
    <x v="51"/>
    <x v="51"/>
    <x v="4"/>
    <x v="4"/>
    <x v="4"/>
    <x v="19"/>
    <x v="203"/>
    <x v="35"/>
    <x v="50"/>
    <x v="503"/>
    <x v="141"/>
    <x v="345"/>
    <x v="1"/>
  </r>
  <r>
    <x v="0"/>
    <x v="52"/>
    <x v="52"/>
    <x v="7"/>
    <x v="7"/>
    <x v="7"/>
    <x v="0"/>
    <x v="171"/>
    <x v="300"/>
    <x v="46"/>
    <x v="504"/>
    <x v="93"/>
    <x v="367"/>
    <x v="1"/>
  </r>
  <r>
    <x v="0"/>
    <x v="52"/>
    <x v="52"/>
    <x v="24"/>
    <x v="24"/>
    <x v="24"/>
    <x v="1"/>
    <x v="48"/>
    <x v="64"/>
    <x v="46"/>
    <x v="504"/>
    <x v="64"/>
    <x v="368"/>
    <x v="1"/>
  </r>
  <r>
    <x v="0"/>
    <x v="52"/>
    <x v="52"/>
    <x v="8"/>
    <x v="8"/>
    <x v="8"/>
    <x v="2"/>
    <x v="50"/>
    <x v="258"/>
    <x v="51"/>
    <x v="49"/>
    <x v="48"/>
    <x v="369"/>
    <x v="1"/>
  </r>
  <r>
    <x v="0"/>
    <x v="52"/>
    <x v="52"/>
    <x v="1"/>
    <x v="1"/>
    <x v="1"/>
    <x v="2"/>
    <x v="50"/>
    <x v="258"/>
    <x v="41"/>
    <x v="88"/>
    <x v="45"/>
    <x v="370"/>
    <x v="1"/>
  </r>
  <r>
    <x v="0"/>
    <x v="52"/>
    <x v="52"/>
    <x v="14"/>
    <x v="14"/>
    <x v="14"/>
    <x v="4"/>
    <x v="53"/>
    <x v="67"/>
    <x v="45"/>
    <x v="74"/>
    <x v="66"/>
    <x v="146"/>
    <x v="1"/>
  </r>
  <r>
    <x v="0"/>
    <x v="52"/>
    <x v="52"/>
    <x v="17"/>
    <x v="17"/>
    <x v="17"/>
    <x v="5"/>
    <x v="54"/>
    <x v="56"/>
    <x v="42"/>
    <x v="366"/>
    <x v="77"/>
    <x v="262"/>
    <x v="1"/>
  </r>
  <r>
    <x v="0"/>
    <x v="52"/>
    <x v="52"/>
    <x v="13"/>
    <x v="13"/>
    <x v="13"/>
    <x v="5"/>
    <x v="54"/>
    <x v="56"/>
    <x v="51"/>
    <x v="49"/>
    <x v="87"/>
    <x v="309"/>
    <x v="1"/>
  </r>
  <r>
    <x v="0"/>
    <x v="52"/>
    <x v="52"/>
    <x v="2"/>
    <x v="2"/>
    <x v="2"/>
    <x v="7"/>
    <x v="55"/>
    <x v="166"/>
    <x v="80"/>
    <x v="505"/>
    <x v="101"/>
    <x v="330"/>
    <x v="1"/>
  </r>
  <r>
    <x v="0"/>
    <x v="52"/>
    <x v="52"/>
    <x v="0"/>
    <x v="0"/>
    <x v="0"/>
    <x v="8"/>
    <x v="96"/>
    <x v="117"/>
    <x v="66"/>
    <x v="506"/>
    <x v="141"/>
    <x v="345"/>
    <x v="1"/>
  </r>
  <r>
    <x v="0"/>
    <x v="52"/>
    <x v="52"/>
    <x v="56"/>
    <x v="56"/>
    <x v="56"/>
    <x v="9"/>
    <x v="193"/>
    <x v="190"/>
    <x v="46"/>
    <x v="504"/>
    <x v="66"/>
    <x v="146"/>
    <x v="1"/>
  </r>
  <r>
    <x v="0"/>
    <x v="52"/>
    <x v="52"/>
    <x v="9"/>
    <x v="9"/>
    <x v="9"/>
    <x v="10"/>
    <x v="198"/>
    <x v="29"/>
    <x v="41"/>
    <x v="88"/>
    <x v="66"/>
    <x v="146"/>
    <x v="1"/>
  </r>
  <r>
    <x v="0"/>
    <x v="52"/>
    <x v="52"/>
    <x v="11"/>
    <x v="11"/>
    <x v="11"/>
    <x v="10"/>
    <x v="198"/>
    <x v="29"/>
    <x v="48"/>
    <x v="258"/>
    <x v="72"/>
    <x v="121"/>
    <x v="1"/>
  </r>
  <r>
    <x v="0"/>
    <x v="52"/>
    <x v="52"/>
    <x v="62"/>
    <x v="62"/>
    <x v="62"/>
    <x v="12"/>
    <x v="200"/>
    <x v="106"/>
    <x v="42"/>
    <x v="366"/>
    <x v="72"/>
    <x v="121"/>
    <x v="1"/>
  </r>
  <r>
    <x v="0"/>
    <x v="52"/>
    <x v="52"/>
    <x v="3"/>
    <x v="3"/>
    <x v="3"/>
    <x v="12"/>
    <x v="200"/>
    <x v="106"/>
    <x v="91"/>
    <x v="507"/>
    <x v="141"/>
    <x v="345"/>
    <x v="1"/>
  </r>
  <r>
    <x v="0"/>
    <x v="52"/>
    <x v="52"/>
    <x v="21"/>
    <x v="21"/>
    <x v="21"/>
    <x v="14"/>
    <x v="201"/>
    <x v="32"/>
    <x v="51"/>
    <x v="49"/>
    <x v="52"/>
    <x v="221"/>
    <x v="1"/>
  </r>
  <r>
    <x v="0"/>
    <x v="52"/>
    <x v="52"/>
    <x v="57"/>
    <x v="57"/>
    <x v="57"/>
    <x v="14"/>
    <x v="201"/>
    <x v="32"/>
    <x v="41"/>
    <x v="88"/>
    <x v="57"/>
    <x v="11"/>
    <x v="1"/>
  </r>
  <r>
    <x v="0"/>
    <x v="52"/>
    <x v="52"/>
    <x v="5"/>
    <x v="5"/>
    <x v="5"/>
    <x v="14"/>
    <x v="201"/>
    <x v="32"/>
    <x v="44"/>
    <x v="269"/>
    <x v="51"/>
    <x v="164"/>
    <x v="1"/>
  </r>
  <r>
    <x v="0"/>
    <x v="52"/>
    <x v="52"/>
    <x v="16"/>
    <x v="16"/>
    <x v="16"/>
    <x v="17"/>
    <x v="202"/>
    <x v="159"/>
    <x v="41"/>
    <x v="88"/>
    <x v="72"/>
    <x v="121"/>
    <x v="1"/>
  </r>
  <r>
    <x v="0"/>
    <x v="52"/>
    <x v="52"/>
    <x v="63"/>
    <x v="63"/>
    <x v="63"/>
    <x v="17"/>
    <x v="202"/>
    <x v="159"/>
    <x v="51"/>
    <x v="49"/>
    <x v="57"/>
    <x v="11"/>
    <x v="1"/>
  </r>
  <r>
    <x v="0"/>
    <x v="52"/>
    <x v="52"/>
    <x v="12"/>
    <x v="12"/>
    <x v="12"/>
    <x v="19"/>
    <x v="203"/>
    <x v="235"/>
    <x v="58"/>
    <x v="285"/>
    <x v="51"/>
    <x v="164"/>
    <x v="1"/>
  </r>
  <r>
    <x v="0"/>
    <x v="52"/>
    <x v="52"/>
    <x v="64"/>
    <x v="64"/>
    <x v="64"/>
    <x v="19"/>
    <x v="203"/>
    <x v="235"/>
    <x v="46"/>
    <x v="504"/>
    <x v="90"/>
    <x v="283"/>
    <x v="1"/>
  </r>
  <r>
    <x v="0"/>
    <x v="52"/>
    <x v="52"/>
    <x v="65"/>
    <x v="65"/>
    <x v="65"/>
    <x v="19"/>
    <x v="203"/>
    <x v="235"/>
    <x v="51"/>
    <x v="49"/>
    <x v="72"/>
    <x v="121"/>
    <x v="1"/>
  </r>
  <r>
    <x v="0"/>
    <x v="53"/>
    <x v="53"/>
    <x v="4"/>
    <x v="4"/>
    <x v="4"/>
    <x v="0"/>
    <x v="88"/>
    <x v="301"/>
    <x v="84"/>
    <x v="508"/>
    <x v="101"/>
    <x v="170"/>
    <x v="1"/>
  </r>
  <r>
    <x v="0"/>
    <x v="53"/>
    <x v="53"/>
    <x v="0"/>
    <x v="0"/>
    <x v="0"/>
    <x v="1"/>
    <x v="66"/>
    <x v="302"/>
    <x v="96"/>
    <x v="509"/>
    <x v="101"/>
    <x v="170"/>
    <x v="1"/>
  </r>
  <r>
    <x v="0"/>
    <x v="53"/>
    <x v="53"/>
    <x v="2"/>
    <x v="2"/>
    <x v="2"/>
    <x v="2"/>
    <x v="69"/>
    <x v="236"/>
    <x v="73"/>
    <x v="510"/>
    <x v="44"/>
    <x v="330"/>
    <x v="1"/>
  </r>
  <r>
    <x v="0"/>
    <x v="53"/>
    <x v="53"/>
    <x v="6"/>
    <x v="6"/>
    <x v="6"/>
    <x v="3"/>
    <x v="50"/>
    <x v="303"/>
    <x v="39"/>
    <x v="511"/>
    <x v="89"/>
    <x v="37"/>
    <x v="1"/>
  </r>
  <r>
    <x v="0"/>
    <x v="53"/>
    <x v="53"/>
    <x v="15"/>
    <x v="15"/>
    <x v="15"/>
    <x v="4"/>
    <x v="52"/>
    <x v="99"/>
    <x v="71"/>
    <x v="430"/>
    <x v="41"/>
    <x v="178"/>
    <x v="1"/>
  </r>
  <r>
    <x v="0"/>
    <x v="53"/>
    <x v="53"/>
    <x v="5"/>
    <x v="5"/>
    <x v="5"/>
    <x v="4"/>
    <x v="52"/>
    <x v="99"/>
    <x v="66"/>
    <x v="512"/>
    <x v="51"/>
    <x v="165"/>
    <x v="1"/>
  </r>
  <r>
    <x v="0"/>
    <x v="53"/>
    <x v="53"/>
    <x v="1"/>
    <x v="1"/>
    <x v="1"/>
    <x v="6"/>
    <x v="54"/>
    <x v="41"/>
    <x v="57"/>
    <x v="513"/>
    <x v="90"/>
    <x v="105"/>
    <x v="1"/>
  </r>
  <r>
    <x v="0"/>
    <x v="53"/>
    <x v="53"/>
    <x v="3"/>
    <x v="3"/>
    <x v="3"/>
    <x v="7"/>
    <x v="55"/>
    <x v="259"/>
    <x v="63"/>
    <x v="514"/>
    <x v="89"/>
    <x v="37"/>
    <x v="1"/>
  </r>
  <r>
    <x v="0"/>
    <x v="53"/>
    <x v="53"/>
    <x v="10"/>
    <x v="10"/>
    <x v="10"/>
    <x v="8"/>
    <x v="96"/>
    <x v="88"/>
    <x v="50"/>
    <x v="496"/>
    <x v="47"/>
    <x v="32"/>
    <x v="1"/>
  </r>
  <r>
    <x v="0"/>
    <x v="53"/>
    <x v="53"/>
    <x v="11"/>
    <x v="11"/>
    <x v="11"/>
    <x v="9"/>
    <x v="193"/>
    <x v="25"/>
    <x v="62"/>
    <x v="185"/>
    <x v="47"/>
    <x v="32"/>
    <x v="1"/>
  </r>
  <r>
    <x v="0"/>
    <x v="53"/>
    <x v="53"/>
    <x v="29"/>
    <x v="29"/>
    <x v="29"/>
    <x v="9"/>
    <x v="193"/>
    <x v="25"/>
    <x v="63"/>
    <x v="514"/>
    <x v="44"/>
    <x v="330"/>
    <x v="1"/>
  </r>
  <r>
    <x v="0"/>
    <x v="53"/>
    <x v="53"/>
    <x v="14"/>
    <x v="14"/>
    <x v="14"/>
    <x v="11"/>
    <x v="198"/>
    <x v="150"/>
    <x v="50"/>
    <x v="496"/>
    <x v="51"/>
    <x v="165"/>
    <x v="1"/>
  </r>
  <r>
    <x v="0"/>
    <x v="53"/>
    <x v="53"/>
    <x v="35"/>
    <x v="35"/>
    <x v="35"/>
    <x v="12"/>
    <x v="200"/>
    <x v="190"/>
    <x v="57"/>
    <x v="513"/>
    <x v="101"/>
    <x v="170"/>
    <x v="1"/>
  </r>
  <r>
    <x v="0"/>
    <x v="53"/>
    <x v="53"/>
    <x v="19"/>
    <x v="19"/>
    <x v="19"/>
    <x v="13"/>
    <x v="201"/>
    <x v="92"/>
    <x v="42"/>
    <x v="135"/>
    <x v="41"/>
    <x v="178"/>
    <x v="1"/>
  </r>
  <r>
    <x v="0"/>
    <x v="53"/>
    <x v="53"/>
    <x v="48"/>
    <x v="48"/>
    <x v="48"/>
    <x v="13"/>
    <x v="201"/>
    <x v="92"/>
    <x v="57"/>
    <x v="513"/>
    <x v="44"/>
    <x v="330"/>
    <x v="1"/>
  </r>
  <r>
    <x v="0"/>
    <x v="53"/>
    <x v="53"/>
    <x v="17"/>
    <x v="17"/>
    <x v="17"/>
    <x v="15"/>
    <x v="202"/>
    <x v="11"/>
    <x v="51"/>
    <x v="49"/>
    <x v="57"/>
    <x v="371"/>
    <x v="1"/>
  </r>
  <r>
    <x v="0"/>
    <x v="53"/>
    <x v="53"/>
    <x v="16"/>
    <x v="16"/>
    <x v="16"/>
    <x v="15"/>
    <x v="202"/>
    <x v="11"/>
    <x v="41"/>
    <x v="438"/>
    <x v="72"/>
    <x v="346"/>
    <x v="1"/>
  </r>
  <r>
    <x v="0"/>
    <x v="53"/>
    <x v="53"/>
    <x v="24"/>
    <x v="24"/>
    <x v="24"/>
    <x v="15"/>
    <x v="202"/>
    <x v="11"/>
    <x v="58"/>
    <x v="501"/>
    <x v="86"/>
    <x v="193"/>
    <x v="1"/>
  </r>
  <r>
    <x v="0"/>
    <x v="53"/>
    <x v="53"/>
    <x v="43"/>
    <x v="43"/>
    <x v="43"/>
    <x v="15"/>
    <x v="202"/>
    <x v="11"/>
    <x v="46"/>
    <x v="33"/>
    <x v="41"/>
    <x v="178"/>
    <x v="1"/>
  </r>
  <r>
    <x v="0"/>
    <x v="53"/>
    <x v="53"/>
    <x v="12"/>
    <x v="12"/>
    <x v="12"/>
    <x v="19"/>
    <x v="203"/>
    <x v="170"/>
    <x v="58"/>
    <x v="501"/>
    <x v="51"/>
    <x v="165"/>
    <x v="1"/>
  </r>
  <r>
    <x v="0"/>
    <x v="53"/>
    <x v="53"/>
    <x v="23"/>
    <x v="23"/>
    <x v="23"/>
    <x v="19"/>
    <x v="203"/>
    <x v="170"/>
    <x v="44"/>
    <x v="136"/>
    <x v="101"/>
    <x v="170"/>
    <x v="1"/>
  </r>
  <r>
    <x v="0"/>
    <x v="53"/>
    <x v="53"/>
    <x v="8"/>
    <x v="8"/>
    <x v="8"/>
    <x v="19"/>
    <x v="203"/>
    <x v="170"/>
    <x v="51"/>
    <x v="49"/>
    <x v="72"/>
    <x v="346"/>
    <x v="1"/>
  </r>
  <r>
    <x v="0"/>
    <x v="54"/>
    <x v="54"/>
    <x v="66"/>
    <x v="66"/>
    <x v="66"/>
    <x v="0"/>
    <x v="55"/>
    <x v="302"/>
    <x v="50"/>
    <x v="100"/>
    <x v="90"/>
    <x v="372"/>
    <x v="1"/>
  </r>
  <r>
    <x v="0"/>
    <x v="54"/>
    <x v="54"/>
    <x v="47"/>
    <x v="47"/>
    <x v="47"/>
    <x v="1"/>
    <x v="198"/>
    <x v="110"/>
    <x v="71"/>
    <x v="189"/>
    <x v="101"/>
    <x v="179"/>
    <x v="1"/>
  </r>
  <r>
    <x v="0"/>
    <x v="54"/>
    <x v="54"/>
    <x v="5"/>
    <x v="5"/>
    <x v="5"/>
    <x v="1"/>
    <x v="198"/>
    <x v="110"/>
    <x v="63"/>
    <x v="515"/>
    <x v="141"/>
    <x v="345"/>
    <x v="1"/>
  </r>
  <r>
    <x v="0"/>
    <x v="54"/>
    <x v="54"/>
    <x v="17"/>
    <x v="17"/>
    <x v="17"/>
    <x v="3"/>
    <x v="200"/>
    <x v="304"/>
    <x v="46"/>
    <x v="516"/>
    <x v="57"/>
    <x v="373"/>
    <x v="1"/>
  </r>
  <r>
    <x v="0"/>
    <x v="54"/>
    <x v="54"/>
    <x v="12"/>
    <x v="12"/>
    <x v="12"/>
    <x v="4"/>
    <x v="202"/>
    <x v="261"/>
    <x v="58"/>
    <x v="517"/>
    <x v="86"/>
    <x v="166"/>
    <x v="1"/>
  </r>
  <r>
    <x v="0"/>
    <x v="54"/>
    <x v="54"/>
    <x v="35"/>
    <x v="35"/>
    <x v="35"/>
    <x v="5"/>
    <x v="203"/>
    <x v="305"/>
    <x v="44"/>
    <x v="252"/>
    <x v="101"/>
    <x v="179"/>
    <x v="1"/>
  </r>
  <r>
    <x v="0"/>
    <x v="54"/>
    <x v="54"/>
    <x v="3"/>
    <x v="3"/>
    <x v="3"/>
    <x v="5"/>
    <x v="203"/>
    <x v="305"/>
    <x v="45"/>
    <x v="518"/>
    <x v="89"/>
    <x v="9"/>
    <x v="1"/>
  </r>
  <r>
    <x v="0"/>
    <x v="54"/>
    <x v="54"/>
    <x v="16"/>
    <x v="16"/>
    <x v="16"/>
    <x v="7"/>
    <x v="204"/>
    <x v="55"/>
    <x v="46"/>
    <x v="516"/>
    <x v="86"/>
    <x v="166"/>
    <x v="1"/>
  </r>
  <r>
    <x v="0"/>
    <x v="54"/>
    <x v="54"/>
    <x v="50"/>
    <x v="50"/>
    <x v="50"/>
    <x v="7"/>
    <x v="204"/>
    <x v="55"/>
    <x v="48"/>
    <x v="133"/>
    <x v="89"/>
    <x v="9"/>
    <x v="1"/>
  </r>
  <r>
    <x v="0"/>
    <x v="54"/>
    <x v="54"/>
    <x v="0"/>
    <x v="0"/>
    <x v="0"/>
    <x v="7"/>
    <x v="204"/>
    <x v="55"/>
    <x v="44"/>
    <x v="252"/>
    <x v="141"/>
    <x v="345"/>
    <x v="1"/>
  </r>
  <r>
    <x v="0"/>
    <x v="54"/>
    <x v="54"/>
    <x v="14"/>
    <x v="14"/>
    <x v="14"/>
    <x v="7"/>
    <x v="204"/>
    <x v="55"/>
    <x v="45"/>
    <x v="518"/>
    <x v="44"/>
    <x v="86"/>
    <x v="1"/>
  </r>
  <r>
    <x v="0"/>
    <x v="54"/>
    <x v="54"/>
    <x v="9"/>
    <x v="9"/>
    <x v="9"/>
    <x v="11"/>
    <x v="205"/>
    <x v="26"/>
    <x v="46"/>
    <x v="516"/>
    <x v="51"/>
    <x v="7"/>
    <x v="1"/>
  </r>
  <r>
    <x v="0"/>
    <x v="54"/>
    <x v="54"/>
    <x v="22"/>
    <x v="22"/>
    <x v="22"/>
    <x v="11"/>
    <x v="205"/>
    <x v="26"/>
    <x v="45"/>
    <x v="518"/>
    <x v="141"/>
    <x v="345"/>
    <x v="1"/>
  </r>
  <r>
    <x v="0"/>
    <x v="54"/>
    <x v="54"/>
    <x v="59"/>
    <x v="59"/>
    <x v="59"/>
    <x v="13"/>
    <x v="206"/>
    <x v="128"/>
    <x v="41"/>
    <x v="88"/>
    <x v="51"/>
    <x v="7"/>
    <x v="1"/>
  </r>
  <r>
    <x v="0"/>
    <x v="54"/>
    <x v="54"/>
    <x v="40"/>
    <x v="40"/>
    <x v="40"/>
    <x v="13"/>
    <x v="206"/>
    <x v="128"/>
    <x v="48"/>
    <x v="133"/>
    <x v="44"/>
    <x v="86"/>
    <x v="1"/>
  </r>
  <r>
    <x v="0"/>
    <x v="54"/>
    <x v="54"/>
    <x v="43"/>
    <x v="43"/>
    <x v="43"/>
    <x v="13"/>
    <x v="206"/>
    <x v="128"/>
    <x v="46"/>
    <x v="516"/>
    <x v="89"/>
    <x v="9"/>
    <x v="1"/>
  </r>
  <r>
    <x v="0"/>
    <x v="54"/>
    <x v="54"/>
    <x v="67"/>
    <x v="67"/>
    <x v="67"/>
    <x v="13"/>
    <x v="206"/>
    <x v="128"/>
    <x v="48"/>
    <x v="133"/>
    <x v="44"/>
    <x v="86"/>
    <x v="1"/>
  </r>
  <r>
    <x v="0"/>
    <x v="54"/>
    <x v="54"/>
    <x v="68"/>
    <x v="68"/>
    <x v="68"/>
    <x v="13"/>
    <x v="206"/>
    <x v="128"/>
    <x v="58"/>
    <x v="517"/>
    <x v="141"/>
    <x v="345"/>
    <x v="1"/>
  </r>
  <r>
    <x v="0"/>
    <x v="54"/>
    <x v="54"/>
    <x v="2"/>
    <x v="2"/>
    <x v="2"/>
    <x v="13"/>
    <x v="206"/>
    <x v="128"/>
    <x v="48"/>
    <x v="133"/>
    <x v="44"/>
    <x v="86"/>
    <x v="1"/>
  </r>
  <r>
    <x v="0"/>
    <x v="54"/>
    <x v="54"/>
    <x v="25"/>
    <x v="25"/>
    <x v="25"/>
    <x v="19"/>
    <x v="207"/>
    <x v="141"/>
    <x v="46"/>
    <x v="516"/>
    <x v="101"/>
    <x v="179"/>
    <x v="1"/>
  </r>
  <r>
    <x v="0"/>
    <x v="54"/>
    <x v="54"/>
    <x v="49"/>
    <x v="49"/>
    <x v="49"/>
    <x v="19"/>
    <x v="207"/>
    <x v="141"/>
    <x v="46"/>
    <x v="516"/>
    <x v="101"/>
    <x v="179"/>
    <x v="1"/>
  </r>
  <r>
    <x v="0"/>
    <x v="54"/>
    <x v="54"/>
    <x v="69"/>
    <x v="69"/>
    <x v="69"/>
    <x v="19"/>
    <x v="207"/>
    <x v="141"/>
    <x v="48"/>
    <x v="133"/>
    <x v="141"/>
    <x v="345"/>
    <x v="1"/>
  </r>
  <r>
    <x v="0"/>
    <x v="55"/>
    <x v="55"/>
    <x v="0"/>
    <x v="0"/>
    <x v="0"/>
    <x v="0"/>
    <x v="47"/>
    <x v="306"/>
    <x v="72"/>
    <x v="519"/>
    <x v="141"/>
    <x v="345"/>
    <x v="1"/>
  </r>
  <r>
    <x v="0"/>
    <x v="55"/>
    <x v="55"/>
    <x v="11"/>
    <x v="11"/>
    <x v="11"/>
    <x v="1"/>
    <x v="198"/>
    <x v="307"/>
    <x v="91"/>
    <x v="520"/>
    <x v="44"/>
    <x v="86"/>
    <x v="1"/>
  </r>
  <r>
    <x v="0"/>
    <x v="55"/>
    <x v="55"/>
    <x v="4"/>
    <x v="4"/>
    <x v="4"/>
    <x v="1"/>
    <x v="198"/>
    <x v="307"/>
    <x v="63"/>
    <x v="521"/>
    <x v="141"/>
    <x v="345"/>
    <x v="1"/>
  </r>
  <r>
    <x v="0"/>
    <x v="55"/>
    <x v="55"/>
    <x v="2"/>
    <x v="2"/>
    <x v="2"/>
    <x v="3"/>
    <x v="200"/>
    <x v="308"/>
    <x v="71"/>
    <x v="522"/>
    <x v="44"/>
    <x v="86"/>
    <x v="1"/>
  </r>
  <r>
    <x v="0"/>
    <x v="55"/>
    <x v="55"/>
    <x v="9"/>
    <x v="9"/>
    <x v="9"/>
    <x v="4"/>
    <x v="202"/>
    <x v="161"/>
    <x v="48"/>
    <x v="274"/>
    <x v="47"/>
    <x v="374"/>
    <x v="1"/>
  </r>
  <r>
    <x v="0"/>
    <x v="55"/>
    <x v="55"/>
    <x v="3"/>
    <x v="3"/>
    <x v="3"/>
    <x v="4"/>
    <x v="202"/>
    <x v="161"/>
    <x v="50"/>
    <x v="523"/>
    <x v="44"/>
    <x v="86"/>
    <x v="1"/>
  </r>
  <r>
    <x v="0"/>
    <x v="55"/>
    <x v="55"/>
    <x v="17"/>
    <x v="17"/>
    <x v="17"/>
    <x v="6"/>
    <x v="208"/>
    <x v="184"/>
    <x v="51"/>
    <x v="49"/>
    <x v="41"/>
    <x v="375"/>
    <x v="1"/>
  </r>
  <r>
    <x v="0"/>
    <x v="55"/>
    <x v="55"/>
    <x v="16"/>
    <x v="16"/>
    <x v="16"/>
    <x v="6"/>
    <x v="208"/>
    <x v="184"/>
    <x v="41"/>
    <x v="250"/>
    <x v="90"/>
    <x v="372"/>
    <x v="1"/>
  </r>
  <r>
    <x v="0"/>
    <x v="55"/>
    <x v="55"/>
    <x v="12"/>
    <x v="12"/>
    <x v="12"/>
    <x v="6"/>
    <x v="208"/>
    <x v="184"/>
    <x v="42"/>
    <x v="300"/>
    <x v="86"/>
    <x v="166"/>
    <x v="1"/>
  </r>
  <r>
    <x v="0"/>
    <x v="55"/>
    <x v="55"/>
    <x v="33"/>
    <x v="33"/>
    <x v="33"/>
    <x v="6"/>
    <x v="208"/>
    <x v="184"/>
    <x v="44"/>
    <x v="524"/>
    <x v="44"/>
    <x v="86"/>
    <x v="1"/>
  </r>
  <r>
    <x v="0"/>
    <x v="55"/>
    <x v="55"/>
    <x v="6"/>
    <x v="6"/>
    <x v="6"/>
    <x v="6"/>
    <x v="208"/>
    <x v="184"/>
    <x v="58"/>
    <x v="525"/>
    <x v="89"/>
    <x v="9"/>
    <x v="1"/>
  </r>
  <r>
    <x v="0"/>
    <x v="55"/>
    <x v="55"/>
    <x v="8"/>
    <x v="8"/>
    <x v="8"/>
    <x v="11"/>
    <x v="204"/>
    <x v="156"/>
    <x v="58"/>
    <x v="525"/>
    <x v="101"/>
    <x v="179"/>
    <x v="1"/>
  </r>
  <r>
    <x v="0"/>
    <x v="55"/>
    <x v="55"/>
    <x v="1"/>
    <x v="1"/>
    <x v="1"/>
    <x v="11"/>
    <x v="204"/>
    <x v="156"/>
    <x v="46"/>
    <x v="418"/>
    <x v="86"/>
    <x v="166"/>
    <x v="1"/>
  </r>
  <r>
    <x v="0"/>
    <x v="55"/>
    <x v="55"/>
    <x v="23"/>
    <x v="23"/>
    <x v="23"/>
    <x v="13"/>
    <x v="206"/>
    <x v="8"/>
    <x v="48"/>
    <x v="274"/>
    <x v="44"/>
    <x v="86"/>
    <x v="1"/>
  </r>
  <r>
    <x v="0"/>
    <x v="55"/>
    <x v="55"/>
    <x v="60"/>
    <x v="60"/>
    <x v="60"/>
    <x v="13"/>
    <x v="206"/>
    <x v="8"/>
    <x v="51"/>
    <x v="49"/>
    <x v="86"/>
    <x v="166"/>
    <x v="1"/>
  </r>
  <r>
    <x v="0"/>
    <x v="55"/>
    <x v="55"/>
    <x v="20"/>
    <x v="20"/>
    <x v="20"/>
    <x v="13"/>
    <x v="206"/>
    <x v="8"/>
    <x v="41"/>
    <x v="250"/>
    <x v="51"/>
    <x v="7"/>
    <x v="1"/>
  </r>
  <r>
    <x v="0"/>
    <x v="55"/>
    <x v="55"/>
    <x v="70"/>
    <x v="70"/>
    <x v="70"/>
    <x v="16"/>
    <x v="207"/>
    <x v="158"/>
    <x v="42"/>
    <x v="300"/>
    <x v="44"/>
    <x v="86"/>
    <x v="1"/>
  </r>
  <r>
    <x v="0"/>
    <x v="55"/>
    <x v="55"/>
    <x v="48"/>
    <x v="48"/>
    <x v="48"/>
    <x v="16"/>
    <x v="207"/>
    <x v="158"/>
    <x v="42"/>
    <x v="300"/>
    <x v="44"/>
    <x v="86"/>
    <x v="1"/>
  </r>
  <r>
    <x v="0"/>
    <x v="55"/>
    <x v="55"/>
    <x v="47"/>
    <x v="47"/>
    <x v="47"/>
    <x v="16"/>
    <x v="207"/>
    <x v="158"/>
    <x v="42"/>
    <x v="300"/>
    <x v="44"/>
    <x v="86"/>
    <x v="1"/>
  </r>
  <r>
    <x v="0"/>
    <x v="55"/>
    <x v="55"/>
    <x v="18"/>
    <x v="18"/>
    <x v="18"/>
    <x v="16"/>
    <x v="207"/>
    <x v="158"/>
    <x v="46"/>
    <x v="418"/>
    <x v="101"/>
    <x v="179"/>
    <x v="1"/>
  </r>
  <r>
    <x v="0"/>
    <x v="56"/>
    <x v="56"/>
    <x v="1"/>
    <x v="1"/>
    <x v="1"/>
    <x v="0"/>
    <x v="69"/>
    <x v="309"/>
    <x v="79"/>
    <x v="526"/>
    <x v="89"/>
    <x v="212"/>
    <x v="1"/>
  </r>
  <r>
    <x v="0"/>
    <x v="56"/>
    <x v="56"/>
    <x v="12"/>
    <x v="12"/>
    <x v="12"/>
    <x v="1"/>
    <x v="92"/>
    <x v="310"/>
    <x v="80"/>
    <x v="527"/>
    <x v="41"/>
    <x v="376"/>
    <x v="1"/>
  </r>
  <r>
    <x v="0"/>
    <x v="56"/>
    <x v="56"/>
    <x v="4"/>
    <x v="4"/>
    <x v="4"/>
    <x v="2"/>
    <x v="51"/>
    <x v="311"/>
    <x v="120"/>
    <x v="500"/>
    <x v="141"/>
    <x v="345"/>
    <x v="1"/>
  </r>
  <r>
    <x v="0"/>
    <x v="56"/>
    <x v="56"/>
    <x v="0"/>
    <x v="0"/>
    <x v="0"/>
    <x v="2"/>
    <x v="51"/>
    <x v="311"/>
    <x v="81"/>
    <x v="528"/>
    <x v="44"/>
    <x v="3"/>
    <x v="1"/>
  </r>
  <r>
    <x v="0"/>
    <x v="56"/>
    <x v="56"/>
    <x v="2"/>
    <x v="2"/>
    <x v="2"/>
    <x v="4"/>
    <x v="96"/>
    <x v="312"/>
    <x v="63"/>
    <x v="529"/>
    <x v="101"/>
    <x v="95"/>
    <x v="1"/>
  </r>
  <r>
    <x v="0"/>
    <x v="56"/>
    <x v="56"/>
    <x v="11"/>
    <x v="11"/>
    <x v="11"/>
    <x v="5"/>
    <x v="200"/>
    <x v="87"/>
    <x v="50"/>
    <x v="530"/>
    <x v="89"/>
    <x v="212"/>
    <x v="1"/>
  </r>
  <r>
    <x v="0"/>
    <x v="56"/>
    <x v="56"/>
    <x v="5"/>
    <x v="5"/>
    <x v="5"/>
    <x v="5"/>
    <x v="200"/>
    <x v="87"/>
    <x v="57"/>
    <x v="262"/>
    <x v="101"/>
    <x v="95"/>
    <x v="1"/>
  </r>
  <r>
    <x v="0"/>
    <x v="56"/>
    <x v="56"/>
    <x v="6"/>
    <x v="6"/>
    <x v="6"/>
    <x v="7"/>
    <x v="201"/>
    <x v="234"/>
    <x v="62"/>
    <x v="305"/>
    <x v="89"/>
    <x v="212"/>
    <x v="1"/>
  </r>
  <r>
    <x v="0"/>
    <x v="56"/>
    <x v="56"/>
    <x v="17"/>
    <x v="17"/>
    <x v="17"/>
    <x v="8"/>
    <x v="202"/>
    <x v="23"/>
    <x v="41"/>
    <x v="307"/>
    <x v="72"/>
    <x v="20"/>
    <x v="1"/>
  </r>
  <r>
    <x v="0"/>
    <x v="56"/>
    <x v="56"/>
    <x v="9"/>
    <x v="9"/>
    <x v="9"/>
    <x v="8"/>
    <x v="202"/>
    <x v="23"/>
    <x v="48"/>
    <x v="67"/>
    <x v="47"/>
    <x v="289"/>
    <x v="1"/>
  </r>
  <r>
    <x v="0"/>
    <x v="56"/>
    <x v="56"/>
    <x v="15"/>
    <x v="15"/>
    <x v="15"/>
    <x v="8"/>
    <x v="202"/>
    <x v="23"/>
    <x v="58"/>
    <x v="170"/>
    <x v="86"/>
    <x v="38"/>
    <x v="1"/>
  </r>
  <r>
    <x v="0"/>
    <x v="56"/>
    <x v="56"/>
    <x v="8"/>
    <x v="8"/>
    <x v="8"/>
    <x v="11"/>
    <x v="203"/>
    <x v="7"/>
    <x v="42"/>
    <x v="418"/>
    <x v="47"/>
    <x v="289"/>
    <x v="1"/>
  </r>
  <r>
    <x v="0"/>
    <x v="56"/>
    <x v="56"/>
    <x v="20"/>
    <x v="20"/>
    <x v="20"/>
    <x v="11"/>
    <x v="203"/>
    <x v="7"/>
    <x v="46"/>
    <x v="135"/>
    <x v="90"/>
    <x v="377"/>
    <x v="1"/>
  </r>
  <r>
    <x v="0"/>
    <x v="56"/>
    <x v="56"/>
    <x v="3"/>
    <x v="3"/>
    <x v="3"/>
    <x v="11"/>
    <x v="203"/>
    <x v="7"/>
    <x v="62"/>
    <x v="305"/>
    <x v="44"/>
    <x v="3"/>
    <x v="1"/>
  </r>
  <r>
    <x v="0"/>
    <x v="56"/>
    <x v="56"/>
    <x v="30"/>
    <x v="30"/>
    <x v="30"/>
    <x v="14"/>
    <x v="208"/>
    <x v="79"/>
    <x v="45"/>
    <x v="113"/>
    <x v="101"/>
    <x v="95"/>
    <x v="1"/>
  </r>
  <r>
    <x v="0"/>
    <x v="56"/>
    <x v="56"/>
    <x v="16"/>
    <x v="16"/>
    <x v="16"/>
    <x v="15"/>
    <x v="204"/>
    <x v="30"/>
    <x v="41"/>
    <x v="307"/>
    <x v="47"/>
    <x v="289"/>
    <x v="1"/>
  </r>
  <r>
    <x v="0"/>
    <x v="56"/>
    <x v="56"/>
    <x v="10"/>
    <x v="10"/>
    <x v="10"/>
    <x v="15"/>
    <x v="204"/>
    <x v="30"/>
    <x v="58"/>
    <x v="170"/>
    <x v="101"/>
    <x v="95"/>
    <x v="1"/>
  </r>
  <r>
    <x v="0"/>
    <x v="56"/>
    <x v="56"/>
    <x v="71"/>
    <x v="71"/>
    <x v="71"/>
    <x v="15"/>
    <x v="204"/>
    <x v="30"/>
    <x v="46"/>
    <x v="135"/>
    <x v="86"/>
    <x v="38"/>
    <x v="1"/>
  </r>
  <r>
    <x v="0"/>
    <x v="56"/>
    <x v="56"/>
    <x v="21"/>
    <x v="21"/>
    <x v="21"/>
    <x v="18"/>
    <x v="205"/>
    <x v="242"/>
    <x v="42"/>
    <x v="418"/>
    <x v="89"/>
    <x v="212"/>
    <x v="1"/>
  </r>
  <r>
    <x v="0"/>
    <x v="56"/>
    <x v="56"/>
    <x v="28"/>
    <x v="28"/>
    <x v="28"/>
    <x v="18"/>
    <x v="205"/>
    <x v="242"/>
    <x v="41"/>
    <x v="307"/>
    <x v="86"/>
    <x v="38"/>
    <x v="1"/>
  </r>
  <r>
    <x v="0"/>
    <x v="57"/>
    <x v="57"/>
    <x v="0"/>
    <x v="0"/>
    <x v="0"/>
    <x v="0"/>
    <x v="44"/>
    <x v="313"/>
    <x v="79"/>
    <x v="507"/>
    <x v="101"/>
    <x v="44"/>
    <x v="1"/>
  </r>
  <r>
    <x v="0"/>
    <x v="57"/>
    <x v="57"/>
    <x v="1"/>
    <x v="1"/>
    <x v="1"/>
    <x v="1"/>
    <x v="49"/>
    <x v="187"/>
    <x v="66"/>
    <x v="531"/>
    <x v="41"/>
    <x v="197"/>
    <x v="1"/>
  </r>
  <r>
    <x v="0"/>
    <x v="57"/>
    <x v="57"/>
    <x v="2"/>
    <x v="2"/>
    <x v="2"/>
    <x v="1"/>
    <x v="49"/>
    <x v="187"/>
    <x v="61"/>
    <x v="180"/>
    <x v="141"/>
    <x v="345"/>
    <x v="1"/>
  </r>
  <r>
    <x v="0"/>
    <x v="57"/>
    <x v="57"/>
    <x v="5"/>
    <x v="5"/>
    <x v="5"/>
    <x v="3"/>
    <x v="50"/>
    <x v="262"/>
    <x v="26"/>
    <x v="416"/>
    <x v="51"/>
    <x v="359"/>
    <x v="1"/>
  </r>
  <r>
    <x v="0"/>
    <x v="57"/>
    <x v="57"/>
    <x v="17"/>
    <x v="17"/>
    <x v="17"/>
    <x v="4"/>
    <x v="52"/>
    <x v="215"/>
    <x v="42"/>
    <x v="389"/>
    <x v="50"/>
    <x v="98"/>
    <x v="1"/>
  </r>
  <r>
    <x v="0"/>
    <x v="57"/>
    <x v="57"/>
    <x v="4"/>
    <x v="4"/>
    <x v="4"/>
    <x v="5"/>
    <x v="54"/>
    <x v="65"/>
    <x v="49"/>
    <x v="532"/>
    <x v="44"/>
    <x v="2"/>
    <x v="1"/>
  </r>
  <r>
    <x v="0"/>
    <x v="57"/>
    <x v="57"/>
    <x v="15"/>
    <x v="15"/>
    <x v="15"/>
    <x v="6"/>
    <x v="55"/>
    <x v="201"/>
    <x v="71"/>
    <x v="259"/>
    <x v="86"/>
    <x v="355"/>
    <x v="1"/>
  </r>
  <r>
    <x v="0"/>
    <x v="57"/>
    <x v="57"/>
    <x v="6"/>
    <x v="6"/>
    <x v="6"/>
    <x v="6"/>
    <x v="55"/>
    <x v="201"/>
    <x v="80"/>
    <x v="425"/>
    <x v="101"/>
    <x v="44"/>
    <x v="1"/>
  </r>
  <r>
    <x v="0"/>
    <x v="57"/>
    <x v="57"/>
    <x v="3"/>
    <x v="3"/>
    <x v="3"/>
    <x v="8"/>
    <x v="193"/>
    <x v="7"/>
    <x v="91"/>
    <x v="533"/>
    <x v="101"/>
    <x v="44"/>
    <x v="1"/>
  </r>
  <r>
    <x v="0"/>
    <x v="57"/>
    <x v="57"/>
    <x v="11"/>
    <x v="11"/>
    <x v="11"/>
    <x v="9"/>
    <x v="198"/>
    <x v="139"/>
    <x v="62"/>
    <x v="316"/>
    <x v="86"/>
    <x v="355"/>
    <x v="1"/>
  </r>
  <r>
    <x v="0"/>
    <x v="57"/>
    <x v="57"/>
    <x v="10"/>
    <x v="10"/>
    <x v="10"/>
    <x v="9"/>
    <x v="198"/>
    <x v="139"/>
    <x v="62"/>
    <x v="316"/>
    <x v="86"/>
    <x v="355"/>
    <x v="1"/>
  </r>
  <r>
    <x v="0"/>
    <x v="57"/>
    <x v="57"/>
    <x v="66"/>
    <x v="66"/>
    <x v="66"/>
    <x v="11"/>
    <x v="200"/>
    <x v="104"/>
    <x v="44"/>
    <x v="534"/>
    <x v="86"/>
    <x v="355"/>
    <x v="1"/>
  </r>
  <r>
    <x v="0"/>
    <x v="57"/>
    <x v="57"/>
    <x v="30"/>
    <x v="30"/>
    <x v="30"/>
    <x v="12"/>
    <x v="201"/>
    <x v="29"/>
    <x v="44"/>
    <x v="534"/>
    <x v="51"/>
    <x v="359"/>
    <x v="1"/>
  </r>
  <r>
    <x v="0"/>
    <x v="57"/>
    <x v="57"/>
    <x v="16"/>
    <x v="16"/>
    <x v="16"/>
    <x v="13"/>
    <x v="202"/>
    <x v="93"/>
    <x v="42"/>
    <x v="389"/>
    <x v="90"/>
    <x v="61"/>
    <x v="1"/>
  </r>
  <r>
    <x v="0"/>
    <x v="57"/>
    <x v="57"/>
    <x v="21"/>
    <x v="21"/>
    <x v="21"/>
    <x v="13"/>
    <x v="202"/>
    <x v="93"/>
    <x v="48"/>
    <x v="535"/>
    <x v="47"/>
    <x v="378"/>
    <x v="1"/>
  </r>
  <r>
    <x v="0"/>
    <x v="57"/>
    <x v="57"/>
    <x v="64"/>
    <x v="64"/>
    <x v="64"/>
    <x v="13"/>
    <x v="202"/>
    <x v="93"/>
    <x v="58"/>
    <x v="454"/>
    <x v="86"/>
    <x v="355"/>
    <x v="1"/>
  </r>
  <r>
    <x v="0"/>
    <x v="57"/>
    <x v="57"/>
    <x v="67"/>
    <x v="67"/>
    <x v="67"/>
    <x v="13"/>
    <x v="202"/>
    <x v="93"/>
    <x v="62"/>
    <x v="316"/>
    <x v="101"/>
    <x v="44"/>
    <x v="1"/>
  </r>
  <r>
    <x v="0"/>
    <x v="57"/>
    <x v="57"/>
    <x v="12"/>
    <x v="12"/>
    <x v="12"/>
    <x v="17"/>
    <x v="203"/>
    <x v="34"/>
    <x v="44"/>
    <x v="534"/>
    <x v="101"/>
    <x v="44"/>
    <x v="1"/>
  </r>
  <r>
    <x v="0"/>
    <x v="57"/>
    <x v="57"/>
    <x v="9"/>
    <x v="9"/>
    <x v="9"/>
    <x v="17"/>
    <x v="203"/>
    <x v="34"/>
    <x v="42"/>
    <x v="389"/>
    <x v="47"/>
    <x v="378"/>
    <x v="1"/>
  </r>
  <r>
    <x v="0"/>
    <x v="57"/>
    <x v="57"/>
    <x v="20"/>
    <x v="20"/>
    <x v="20"/>
    <x v="17"/>
    <x v="203"/>
    <x v="34"/>
    <x v="48"/>
    <x v="535"/>
    <x v="86"/>
    <x v="355"/>
    <x v="1"/>
  </r>
  <r>
    <x v="0"/>
    <x v="57"/>
    <x v="57"/>
    <x v="22"/>
    <x v="22"/>
    <x v="22"/>
    <x v="17"/>
    <x v="203"/>
    <x v="34"/>
    <x v="62"/>
    <x v="316"/>
    <x v="44"/>
    <x v="2"/>
    <x v="1"/>
  </r>
  <r>
    <x v="0"/>
    <x v="58"/>
    <x v="58"/>
    <x v="14"/>
    <x v="14"/>
    <x v="14"/>
    <x v="0"/>
    <x v="50"/>
    <x v="314"/>
    <x v="91"/>
    <x v="282"/>
    <x v="72"/>
    <x v="343"/>
    <x v="1"/>
  </r>
  <r>
    <x v="0"/>
    <x v="58"/>
    <x v="58"/>
    <x v="9"/>
    <x v="9"/>
    <x v="9"/>
    <x v="1"/>
    <x v="54"/>
    <x v="315"/>
    <x v="50"/>
    <x v="536"/>
    <x v="41"/>
    <x v="379"/>
    <x v="1"/>
  </r>
  <r>
    <x v="0"/>
    <x v="58"/>
    <x v="58"/>
    <x v="4"/>
    <x v="4"/>
    <x v="4"/>
    <x v="2"/>
    <x v="55"/>
    <x v="145"/>
    <x v="49"/>
    <x v="290"/>
    <x v="141"/>
    <x v="345"/>
    <x v="1"/>
  </r>
  <r>
    <x v="0"/>
    <x v="58"/>
    <x v="58"/>
    <x v="2"/>
    <x v="2"/>
    <x v="2"/>
    <x v="2"/>
    <x v="55"/>
    <x v="145"/>
    <x v="49"/>
    <x v="290"/>
    <x v="141"/>
    <x v="345"/>
    <x v="1"/>
  </r>
  <r>
    <x v="0"/>
    <x v="58"/>
    <x v="58"/>
    <x v="16"/>
    <x v="16"/>
    <x v="16"/>
    <x v="4"/>
    <x v="96"/>
    <x v="316"/>
    <x v="58"/>
    <x v="537"/>
    <x v="57"/>
    <x v="361"/>
    <x v="1"/>
  </r>
  <r>
    <x v="0"/>
    <x v="58"/>
    <x v="58"/>
    <x v="0"/>
    <x v="0"/>
    <x v="0"/>
    <x v="4"/>
    <x v="96"/>
    <x v="316"/>
    <x v="80"/>
    <x v="538"/>
    <x v="44"/>
    <x v="167"/>
    <x v="1"/>
  </r>
  <r>
    <x v="0"/>
    <x v="58"/>
    <x v="58"/>
    <x v="17"/>
    <x v="17"/>
    <x v="17"/>
    <x v="6"/>
    <x v="193"/>
    <x v="317"/>
    <x v="48"/>
    <x v="238"/>
    <x v="57"/>
    <x v="361"/>
    <x v="1"/>
  </r>
  <r>
    <x v="0"/>
    <x v="58"/>
    <x v="58"/>
    <x v="12"/>
    <x v="12"/>
    <x v="12"/>
    <x v="6"/>
    <x v="193"/>
    <x v="317"/>
    <x v="91"/>
    <x v="282"/>
    <x v="101"/>
    <x v="113"/>
    <x v="1"/>
  </r>
  <r>
    <x v="0"/>
    <x v="58"/>
    <x v="58"/>
    <x v="24"/>
    <x v="24"/>
    <x v="24"/>
    <x v="8"/>
    <x v="198"/>
    <x v="258"/>
    <x v="58"/>
    <x v="537"/>
    <x v="41"/>
    <x v="379"/>
    <x v="1"/>
  </r>
  <r>
    <x v="0"/>
    <x v="58"/>
    <x v="58"/>
    <x v="8"/>
    <x v="8"/>
    <x v="8"/>
    <x v="8"/>
    <x v="198"/>
    <x v="258"/>
    <x v="46"/>
    <x v="333"/>
    <x v="52"/>
    <x v="380"/>
    <x v="1"/>
  </r>
  <r>
    <x v="0"/>
    <x v="58"/>
    <x v="58"/>
    <x v="43"/>
    <x v="43"/>
    <x v="43"/>
    <x v="8"/>
    <x v="198"/>
    <x v="258"/>
    <x v="46"/>
    <x v="333"/>
    <x v="52"/>
    <x v="380"/>
    <x v="1"/>
  </r>
  <r>
    <x v="0"/>
    <x v="58"/>
    <x v="58"/>
    <x v="11"/>
    <x v="11"/>
    <x v="11"/>
    <x v="11"/>
    <x v="200"/>
    <x v="294"/>
    <x v="62"/>
    <x v="112"/>
    <x v="51"/>
    <x v="250"/>
    <x v="1"/>
  </r>
  <r>
    <x v="0"/>
    <x v="58"/>
    <x v="58"/>
    <x v="72"/>
    <x v="72"/>
    <x v="72"/>
    <x v="12"/>
    <x v="208"/>
    <x v="30"/>
    <x v="48"/>
    <x v="238"/>
    <x v="51"/>
    <x v="250"/>
    <x v="1"/>
  </r>
  <r>
    <x v="0"/>
    <x v="58"/>
    <x v="58"/>
    <x v="5"/>
    <x v="5"/>
    <x v="5"/>
    <x v="12"/>
    <x v="208"/>
    <x v="30"/>
    <x v="62"/>
    <x v="112"/>
    <x v="141"/>
    <x v="345"/>
    <x v="1"/>
  </r>
  <r>
    <x v="0"/>
    <x v="58"/>
    <x v="58"/>
    <x v="23"/>
    <x v="23"/>
    <x v="23"/>
    <x v="14"/>
    <x v="204"/>
    <x v="13"/>
    <x v="42"/>
    <x v="226"/>
    <x v="51"/>
    <x v="250"/>
    <x v="1"/>
  </r>
  <r>
    <x v="0"/>
    <x v="58"/>
    <x v="58"/>
    <x v="73"/>
    <x v="73"/>
    <x v="73"/>
    <x v="14"/>
    <x v="204"/>
    <x v="13"/>
    <x v="58"/>
    <x v="537"/>
    <x v="101"/>
    <x v="113"/>
    <x v="1"/>
  </r>
  <r>
    <x v="0"/>
    <x v="58"/>
    <x v="58"/>
    <x v="47"/>
    <x v="47"/>
    <x v="47"/>
    <x v="14"/>
    <x v="204"/>
    <x v="13"/>
    <x v="45"/>
    <x v="376"/>
    <x v="44"/>
    <x v="167"/>
    <x v="1"/>
  </r>
  <r>
    <x v="0"/>
    <x v="58"/>
    <x v="58"/>
    <x v="59"/>
    <x v="59"/>
    <x v="59"/>
    <x v="17"/>
    <x v="205"/>
    <x v="130"/>
    <x v="48"/>
    <x v="238"/>
    <x v="101"/>
    <x v="113"/>
    <x v="1"/>
  </r>
  <r>
    <x v="0"/>
    <x v="58"/>
    <x v="58"/>
    <x v="25"/>
    <x v="25"/>
    <x v="25"/>
    <x v="17"/>
    <x v="205"/>
    <x v="130"/>
    <x v="42"/>
    <x v="226"/>
    <x v="89"/>
    <x v="283"/>
    <x v="1"/>
  </r>
  <r>
    <x v="0"/>
    <x v="58"/>
    <x v="58"/>
    <x v="74"/>
    <x v="74"/>
    <x v="74"/>
    <x v="17"/>
    <x v="205"/>
    <x v="130"/>
    <x v="46"/>
    <x v="333"/>
    <x v="51"/>
    <x v="250"/>
    <x v="1"/>
  </r>
  <r>
    <x v="0"/>
    <x v="58"/>
    <x v="58"/>
    <x v="53"/>
    <x v="53"/>
    <x v="53"/>
    <x v="17"/>
    <x v="205"/>
    <x v="130"/>
    <x v="41"/>
    <x v="171"/>
    <x v="86"/>
    <x v="34"/>
    <x v="1"/>
  </r>
  <r>
    <x v="0"/>
    <x v="58"/>
    <x v="58"/>
    <x v="20"/>
    <x v="20"/>
    <x v="20"/>
    <x v="17"/>
    <x v="205"/>
    <x v="130"/>
    <x v="41"/>
    <x v="171"/>
    <x v="86"/>
    <x v="34"/>
    <x v="1"/>
  </r>
  <r>
    <x v="0"/>
    <x v="58"/>
    <x v="58"/>
    <x v="6"/>
    <x v="6"/>
    <x v="6"/>
    <x v="17"/>
    <x v="205"/>
    <x v="130"/>
    <x v="58"/>
    <x v="537"/>
    <x v="44"/>
    <x v="167"/>
    <x v="1"/>
  </r>
  <r>
    <x v="0"/>
    <x v="59"/>
    <x v="59"/>
    <x v="12"/>
    <x v="12"/>
    <x v="12"/>
    <x v="0"/>
    <x v="92"/>
    <x v="318"/>
    <x v="26"/>
    <x v="539"/>
    <x v="86"/>
    <x v="160"/>
    <x v="1"/>
  </r>
  <r>
    <x v="0"/>
    <x v="59"/>
    <x v="59"/>
    <x v="24"/>
    <x v="24"/>
    <x v="24"/>
    <x v="1"/>
    <x v="96"/>
    <x v="319"/>
    <x v="44"/>
    <x v="518"/>
    <x v="41"/>
    <x v="380"/>
    <x v="1"/>
  </r>
  <r>
    <x v="0"/>
    <x v="59"/>
    <x v="59"/>
    <x v="17"/>
    <x v="17"/>
    <x v="17"/>
    <x v="2"/>
    <x v="193"/>
    <x v="197"/>
    <x v="46"/>
    <x v="29"/>
    <x v="66"/>
    <x v="381"/>
    <x v="1"/>
  </r>
  <r>
    <x v="0"/>
    <x v="59"/>
    <x v="59"/>
    <x v="9"/>
    <x v="9"/>
    <x v="9"/>
    <x v="2"/>
    <x v="193"/>
    <x v="197"/>
    <x v="50"/>
    <x v="255"/>
    <x v="86"/>
    <x v="160"/>
    <x v="1"/>
  </r>
  <r>
    <x v="0"/>
    <x v="59"/>
    <x v="59"/>
    <x v="11"/>
    <x v="11"/>
    <x v="11"/>
    <x v="2"/>
    <x v="193"/>
    <x v="197"/>
    <x v="71"/>
    <x v="523"/>
    <x v="89"/>
    <x v="12"/>
    <x v="1"/>
  </r>
  <r>
    <x v="0"/>
    <x v="59"/>
    <x v="59"/>
    <x v="14"/>
    <x v="14"/>
    <x v="14"/>
    <x v="2"/>
    <x v="193"/>
    <x v="197"/>
    <x v="57"/>
    <x v="204"/>
    <x v="51"/>
    <x v="109"/>
    <x v="1"/>
  </r>
  <r>
    <x v="0"/>
    <x v="59"/>
    <x v="59"/>
    <x v="0"/>
    <x v="0"/>
    <x v="0"/>
    <x v="6"/>
    <x v="198"/>
    <x v="320"/>
    <x v="63"/>
    <x v="437"/>
    <x v="141"/>
    <x v="345"/>
    <x v="1"/>
  </r>
  <r>
    <x v="0"/>
    <x v="59"/>
    <x v="59"/>
    <x v="16"/>
    <x v="16"/>
    <x v="16"/>
    <x v="7"/>
    <x v="200"/>
    <x v="64"/>
    <x v="42"/>
    <x v="89"/>
    <x v="72"/>
    <x v="382"/>
    <x v="1"/>
  </r>
  <r>
    <x v="0"/>
    <x v="59"/>
    <x v="59"/>
    <x v="4"/>
    <x v="4"/>
    <x v="4"/>
    <x v="8"/>
    <x v="201"/>
    <x v="115"/>
    <x v="71"/>
    <x v="523"/>
    <x v="141"/>
    <x v="345"/>
    <x v="1"/>
  </r>
  <r>
    <x v="0"/>
    <x v="59"/>
    <x v="59"/>
    <x v="2"/>
    <x v="2"/>
    <x v="2"/>
    <x v="8"/>
    <x v="201"/>
    <x v="115"/>
    <x v="71"/>
    <x v="523"/>
    <x v="141"/>
    <x v="345"/>
    <x v="1"/>
  </r>
  <r>
    <x v="0"/>
    <x v="59"/>
    <x v="59"/>
    <x v="8"/>
    <x v="8"/>
    <x v="8"/>
    <x v="10"/>
    <x v="203"/>
    <x v="67"/>
    <x v="41"/>
    <x v="215"/>
    <x v="41"/>
    <x v="380"/>
    <x v="1"/>
  </r>
  <r>
    <x v="0"/>
    <x v="59"/>
    <x v="59"/>
    <x v="64"/>
    <x v="64"/>
    <x v="64"/>
    <x v="10"/>
    <x v="203"/>
    <x v="67"/>
    <x v="42"/>
    <x v="89"/>
    <x v="47"/>
    <x v="157"/>
    <x v="1"/>
  </r>
  <r>
    <x v="0"/>
    <x v="59"/>
    <x v="59"/>
    <x v="6"/>
    <x v="6"/>
    <x v="6"/>
    <x v="10"/>
    <x v="203"/>
    <x v="67"/>
    <x v="62"/>
    <x v="540"/>
    <x v="44"/>
    <x v="215"/>
    <x v="1"/>
  </r>
  <r>
    <x v="0"/>
    <x v="59"/>
    <x v="59"/>
    <x v="10"/>
    <x v="10"/>
    <x v="10"/>
    <x v="13"/>
    <x v="204"/>
    <x v="190"/>
    <x v="58"/>
    <x v="460"/>
    <x v="101"/>
    <x v="217"/>
    <x v="1"/>
  </r>
  <r>
    <x v="0"/>
    <x v="59"/>
    <x v="59"/>
    <x v="70"/>
    <x v="70"/>
    <x v="70"/>
    <x v="14"/>
    <x v="205"/>
    <x v="60"/>
    <x v="58"/>
    <x v="460"/>
    <x v="44"/>
    <x v="215"/>
    <x v="1"/>
  </r>
  <r>
    <x v="0"/>
    <x v="59"/>
    <x v="59"/>
    <x v="75"/>
    <x v="75"/>
    <x v="75"/>
    <x v="14"/>
    <x v="205"/>
    <x v="60"/>
    <x v="46"/>
    <x v="29"/>
    <x v="51"/>
    <x v="109"/>
    <x v="1"/>
  </r>
  <r>
    <x v="0"/>
    <x v="59"/>
    <x v="59"/>
    <x v="27"/>
    <x v="27"/>
    <x v="27"/>
    <x v="14"/>
    <x v="205"/>
    <x v="60"/>
    <x v="51"/>
    <x v="49"/>
    <x v="47"/>
    <x v="157"/>
    <x v="1"/>
  </r>
  <r>
    <x v="0"/>
    <x v="59"/>
    <x v="59"/>
    <x v="67"/>
    <x v="67"/>
    <x v="67"/>
    <x v="14"/>
    <x v="205"/>
    <x v="60"/>
    <x v="45"/>
    <x v="541"/>
    <x v="141"/>
    <x v="345"/>
    <x v="1"/>
  </r>
  <r>
    <x v="0"/>
    <x v="59"/>
    <x v="59"/>
    <x v="50"/>
    <x v="50"/>
    <x v="50"/>
    <x v="14"/>
    <x v="205"/>
    <x v="60"/>
    <x v="46"/>
    <x v="29"/>
    <x v="51"/>
    <x v="109"/>
    <x v="1"/>
  </r>
  <r>
    <x v="0"/>
    <x v="59"/>
    <x v="59"/>
    <x v="47"/>
    <x v="47"/>
    <x v="47"/>
    <x v="14"/>
    <x v="205"/>
    <x v="60"/>
    <x v="48"/>
    <x v="379"/>
    <x v="101"/>
    <x v="217"/>
    <x v="1"/>
  </r>
  <r>
    <x v="0"/>
    <x v="59"/>
    <x v="59"/>
    <x v="5"/>
    <x v="5"/>
    <x v="5"/>
    <x v="14"/>
    <x v="205"/>
    <x v="60"/>
    <x v="58"/>
    <x v="460"/>
    <x v="141"/>
    <x v="345"/>
    <x v="0"/>
  </r>
  <r>
    <x v="0"/>
    <x v="60"/>
    <x v="60"/>
    <x v="0"/>
    <x v="0"/>
    <x v="0"/>
    <x v="0"/>
    <x v="193"/>
    <x v="321"/>
    <x v="63"/>
    <x v="542"/>
    <x v="44"/>
    <x v="184"/>
    <x v="1"/>
  </r>
  <r>
    <x v="0"/>
    <x v="60"/>
    <x v="60"/>
    <x v="5"/>
    <x v="5"/>
    <x v="5"/>
    <x v="1"/>
    <x v="200"/>
    <x v="322"/>
    <x v="91"/>
    <x v="543"/>
    <x v="141"/>
    <x v="345"/>
    <x v="1"/>
  </r>
  <r>
    <x v="0"/>
    <x v="60"/>
    <x v="60"/>
    <x v="17"/>
    <x v="17"/>
    <x v="17"/>
    <x v="2"/>
    <x v="203"/>
    <x v="52"/>
    <x v="46"/>
    <x v="498"/>
    <x v="90"/>
    <x v="383"/>
    <x v="1"/>
  </r>
  <r>
    <x v="0"/>
    <x v="60"/>
    <x v="60"/>
    <x v="21"/>
    <x v="21"/>
    <x v="21"/>
    <x v="3"/>
    <x v="208"/>
    <x v="210"/>
    <x v="42"/>
    <x v="544"/>
    <x v="86"/>
    <x v="135"/>
    <x v="1"/>
  </r>
  <r>
    <x v="0"/>
    <x v="60"/>
    <x v="60"/>
    <x v="8"/>
    <x v="8"/>
    <x v="8"/>
    <x v="3"/>
    <x v="208"/>
    <x v="210"/>
    <x v="46"/>
    <x v="498"/>
    <x v="47"/>
    <x v="384"/>
    <x v="1"/>
  </r>
  <r>
    <x v="0"/>
    <x v="60"/>
    <x v="60"/>
    <x v="12"/>
    <x v="12"/>
    <x v="12"/>
    <x v="5"/>
    <x v="204"/>
    <x v="3"/>
    <x v="48"/>
    <x v="446"/>
    <x v="89"/>
    <x v="241"/>
    <x v="1"/>
  </r>
  <r>
    <x v="0"/>
    <x v="60"/>
    <x v="60"/>
    <x v="43"/>
    <x v="43"/>
    <x v="43"/>
    <x v="6"/>
    <x v="205"/>
    <x v="164"/>
    <x v="58"/>
    <x v="545"/>
    <x v="44"/>
    <x v="184"/>
    <x v="1"/>
  </r>
  <r>
    <x v="0"/>
    <x v="60"/>
    <x v="60"/>
    <x v="6"/>
    <x v="6"/>
    <x v="6"/>
    <x v="6"/>
    <x v="205"/>
    <x v="164"/>
    <x v="58"/>
    <x v="545"/>
    <x v="44"/>
    <x v="184"/>
    <x v="1"/>
  </r>
  <r>
    <x v="0"/>
    <x v="60"/>
    <x v="60"/>
    <x v="2"/>
    <x v="2"/>
    <x v="2"/>
    <x v="6"/>
    <x v="205"/>
    <x v="164"/>
    <x v="45"/>
    <x v="416"/>
    <x v="141"/>
    <x v="345"/>
    <x v="1"/>
  </r>
  <r>
    <x v="0"/>
    <x v="60"/>
    <x v="60"/>
    <x v="25"/>
    <x v="25"/>
    <x v="25"/>
    <x v="9"/>
    <x v="206"/>
    <x v="79"/>
    <x v="41"/>
    <x v="25"/>
    <x v="51"/>
    <x v="332"/>
    <x v="1"/>
  </r>
  <r>
    <x v="0"/>
    <x v="60"/>
    <x v="60"/>
    <x v="10"/>
    <x v="10"/>
    <x v="10"/>
    <x v="9"/>
    <x v="206"/>
    <x v="79"/>
    <x v="42"/>
    <x v="544"/>
    <x v="101"/>
    <x v="142"/>
    <x v="1"/>
  </r>
  <r>
    <x v="0"/>
    <x v="60"/>
    <x v="60"/>
    <x v="76"/>
    <x v="76"/>
    <x v="76"/>
    <x v="9"/>
    <x v="206"/>
    <x v="79"/>
    <x v="58"/>
    <x v="545"/>
    <x v="141"/>
    <x v="345"/>
    <x v="1"/>
  </r>
  <r>
    <x v="0"/>
    <x v="60"/>
    <x v="60"/>
    <x v="16"/>
    <x v="16"/>
    <x v="16"/>
    <x v="12"/>
    <x v="207"/>
    <x v="93"/>
    <x v="42"/>
    <x v="544"/>
    <x v="44"/>
    <x v="184"/>
    <x v="1"/>
  </r>
  <r>
    <x v="0"/>
    <x v="60"/>
    <x v="60"/>
    <x v="40"/>
    <x v="40"/>
    <x v="40"/>
    <x v="12"/>
    <x v="207"/>
    <x v="93"/>
    <x v="42"/>
    <x v="544"/>
    <x v="44"/>
    <x v="184"/>
    <x v="1"/>
  </r>
  <r>
    <x v="0"/>
    <x v="60"/>
    <x v="60"/>
    <x v="9"/>
    <x v="9"/>
    <x v="9"/>
    <x v="12"/>
    <x v="207"/>
    <x v="93"/>
    <x v="41"/>
    <x v="25"/>
    <x v="89"/>
    <x v="241"/>
    <x v="1"/>
  </r>
  <r>
    <x v="0"/>
    <x v="60"/>
    <x v="60"/>
    <x v="64"/>
    <x v="64"/>
    <x v="64"/>
    <x v="12"/>
    <x v="207"/>
    <x v="93"/>
    <x v="41"/>
    <x v="25"/>
    <x v="89"/>
    <x v="241"/>
    <x v="1"/>
  </r>
  <r>
    <x v="0"/>
    <x v="60"/>
    <x v="60"/>
    <x v="42"/>
    <x v="42"/>
    <x v="42"/>
    <x v="12"/>
    <x v="207"/>
    <x v="93"/>
    <x v="51"/>
    <x v="49"/>
    <x v="51"/>
    <x v="332"/>
    <x v="1"/>
  </r>
  <r>
    <x v="0"/>
    <x v="60"/>
    <x v="60"/>
    <x v="28"/>
    <x v="28"/>
    <x v="28"/>
    <x v="12"/>
    <x v="207"/>
    <x v="93"/>
    <x v="51"/>
    <x v="49"/>
    <x v="51"/>
    <x v="332"/>
    <x v="1"/>
  </r>
  <r>
    <x v="0"/>
    <x v="60"/>
    <x v="60"/>
    <x v="20"/>
    <x v="20"/>
    <x v="20"/>
    <x v="12"/>
    <x v="207"/>
    <x v="93"/>
    <x v="41"/>
    <x v="25"/>
    <x v="89"/>
    <x v="241"/>
    <x v="1"/>
  </r>
  <r>
    <x v="0"/>
    <x v="60"/>
    <x v="60"/>
    <x v="4"/>
    <x v="4"/>
    <x v="4"/>
    <x v="12"/>
    <x v="207"/>
    <x v="93"/>
    <x v="42"/>
    <x v="544"/>
    <x v="44"/>
    <x v="184"/>
    <x v="1"/>
  </r>
  <r>
    <x v="0"/>
    <x v="60"/>
    <x v="60"/>
    <x v="22"/>
    <x v="22"/>
    <x v="22"/>
    <x v="12"/>
    <x v="207"/>
    <x v="93"/>
    <x v="48"/>
    <x v="446"/>
    <x v="141"/>
    <x v="345"/>
    <x v="1"/>
  </r>
  <r>
    <x v="0"/>
    <x v="60"/>
    <x v="60"/>
    <x v="3"/>
    <x v="3"/>
    <x v="3"/>
    <x v="12"/>
    <x v="207"/>
    <x v="93"/>
    <x v="48"/>
    <x v="446"/>
    <x v="141"/>
    <x v="345"/>
    <x v="1"/>
  </r>
  <r>
    <x v="0"/>
    <x v="60"/>
    <x v="60"/>
    <x v="14"/>
    <x v="14"/>
    <x v="14"/>
    <x v="12"/>
    <x v="207"/>
    <x v="93"/>
    <x v="48"/>
    <x v="446"/>
    <x v="141"/>
    <x v="345"/>
    <x v="1"/>
  </r>
  <r>
    <x v="0"/>
    <x v="61"/>
    <x v="61"/>
    <x v="66"/>
    <x v="66"/>
    <x v="66"/>
    <x v="0"/>
    <x v="83"/>
    <x v="323"/>
    <x v="47"/>
    <x v="546"/>
    <x v="50"/>
    <x v="385"/>
    <x v="1"/>
  </r>
  <r>
    <x v="0"/>
    <x v="61"/>
    <x v="61"/>
    <x v="12"/>
    <x v="12"/>
    <x v="12"/>
    <x v="1"/>
    <x v="96"/>
    <x v="314"/>
    <x v="45"/>
    <x v="236"/>
    <x v="72"/>
    <x v="386"/>
    <x v="1"/>
  </r>
  <r>
    <x v="0"/>
    <x v="61"/>
    <x v="61"/>
    <x v="43"/>
    <x v="43"/>
    <x v="43"/>
    <x v="2"/>
    <x v="203"/>
    <x v="253"/>
    <x v="58"/>
    <x v="139"/>
    <x v="51"/>
    <x v="320"/>
    <x v="1"/>
  </r>
  <r>
    <x v="0"/>
    <x v="61"/>
    <x v="61"/>
    <x v="6"/>
    <x v="6"/>
    <x v="6"/>
    <x v="2"/>
    <x v="203"/>
    <x v="253"/>
    <x v="44"/>
    <x v="547"/>
    <x v="101"/>
    <x v="65"/>
    <x v="1"/>
  </r>
  <r>
    <x v="0"/>
    <x v="61"/>
    <x v="61"/>
    <x v="47"/>
    <x v="47"/>
    <x v="47"/>
    <x v="2"/>
    <x v="203"/>
    <x v="253"/>
    <x v="50"/>
    <x v="344"/>
    <x v="141"/>
    <x v="345"/>
    <x v="1"/>
  </r>
  <r>
    <x v="0"/>
    <x v="61"/>
    <x v="61"/>
    <x v="2"/>
    <x v="2"/>
    <x v="2"/>
    <x v="2"/>
    <x v="203"/>
    <x v="253"/>
    <x v="50"/>
    <x v="344"/>
    <x v="141"/>
    <x v="345"/>
    <x v="1"/>
  </r>
  <r>
    <x v="0"/>
    <x v="61"/>
    <x v="61"/>
    <x v="17"/>
    <x v="17"/>
    <x v="17"/>
    <x v="6"/>
    <x v="208"/>
    <x v="324"/>
    <x v="41"/>
    <x v="327"/>
    <x v="90"/>
    <x v="387"/>
    <x v="1"/>
  </r>
  <r>
    <x v="0"/>
    <x v="61"/>
    <x v="61"/>
    <x v="30"/>
    <x v="30"/>
    <x v="30"/>
    <x v="6"/>
    <x v="208"/>
    <x v="324"/>
    <x v="62"/>
    <x v="548"/>
    <x v="141"/>
    <x v="345"/>
    <x v="1"/>
  </r>
  <r>
    <x v="0"/>
    <x v="61"/>
    <x v="61"/>
    <x v="11"/>
    <x v="11"/>
    <x v="11"/>
    <x v="6"/>
    <x v="208"/>
    <x v="324"/>
    <x v="58"/>
    <x v="139"/>
    <x v="89"/>
    <x v="47"/>
    <x v="1"/>
  </r>
  <r>
    <x v="0"/>
    <x v="61"/>
    <x v="61"/>
    <x v="14"/>
    <x v="14"/>
    <x v="14"/>
    <x v="6"/>
    <x v="208"/>
    <x v="324"/>
    <x v="45"/>
    <x v="236"/>
    <x v="101"/>
    <x v="65"/>
    <x v="1"/>
  </r>
  <r>
    <x v="0"/>
    <x v="61"/>
    <x v="61"/>
    <x v="16"/>
    <x v="16"/>
    <x v="16"/>
    <x v="10"/>
    <x v="204"/>
    <x v="178"/>
    <x v="42"/>
    <x v="12"/>
    <x v="51"/>
    <x v="320"/>
    <x v="1"/>
  </r>
  <r>
    <x v="0"/>
    <x v="61"/>
    <x v="61"/>
    <x v="15"/>
    <x v="15"/>
    <x v="15"/>
    <x v="10"/>
    <x v="204"/>
    <x v="178"/>
    <x v="58"/>
    <x v="139"/>
    <x v="101"/>
    <x v="65"/>
    <x v="1"/>
  </r>
  <r>
    <x v="0"/>
    <x v="61"/>
    <x v="61"/>
    <x v="35"/>
    <x v="35"/>
    <x v="35"/>
    <x v="10"/>
    <x v="204"/>
    <x v="178"/>
    <x v="44"/>
    <x v="547"/>
    <x v="141"/>
    <x v="345"/>
    <x v="1"/>
  </r>
  <r>
    <x v="0"/>
    <x v="61"/>
    <x v="61"/>
    <x v="59"/>
    <x v="59"/>
    <x v="59"/>
    <x v="13"/>
    <x v="205"/>
    <x v="8"/>
    <x v="48"/>
    <x v="328"/>
    <x v="101"/>
    <x v="65"/>
    <x v="1"/>
  </r>
  <r>
    <x v="0"/>
    <x v="61"/>
    <x v="61"/>
    <x v="25"/>
    <x v="25"/>
    <x v="25"/>
    <x v="14"/>
    <x v="206"/>
    <x v="13"/>
    <x v="46"/>
    <x v="345"/>
    <x v="89"/>
    <x v="47"/>
    <x v="1"/>
  </r>
  <r>
    <x v="0"/>
    <x v="61"/>
    <x v="61"/>
    <x v="77"/>
    <x v="77"/>
    <x v="77"/>
    <x v="14"/>
    <x v="206"/>
    <x v="13"/>
    <x v="41"/>
    <x v="327"/>
    <x v="51"/>
    <x v="320"/>
    <x v="1"/>
  </r>
  <r>
    <x v="0"/>
    <x v="61"/>
    <x v="61"/>
    <x v="64"/>
    <x v="64"/>
    <x v="64"/>
    <x v="14"/>
    <x v="206"/>
    <x v="13"/>
    <x v="42"/>
    <x v="12"/>
    <x v="101"/>
    <x v="65"/>
    <x v="1"/>
  </r>
  <r>
    <x v="0"/>
    <x v="61"/>
    <x v="61"/>
    <x v="28"/>
    <x v="28"/>
    <x v="28"/>
    <x v="14"/>
    <x v="206"/>
    <x v="13"/>
    <x v="41"/>
    <x v="327"/>
    <x v="51"/>
    <x v="320"/>
    <x v="1"/>
  </r>
  <r>
    <x v="0"/>
    <x v="61"/>
    <x v="61"/>
    <x v="50"/>
    <x v="50"/>
    <x v="50"/>
    <x v="14"/>
    <x v="206"/>
    <x v="13"/>
    <x v="48"/>
    <x v="328"/>
    <x v="44"/>
    <x v="170"/>
    <x v="1"/>
  </r>
  <r>
    <x v="0"/>
    <x v="61"/>
    <x v="61"/>
    <x v="1"/>
    <x v="1"/>
    <x v="1"/>
    <x v="14"/>
    <x v="206"/>
    <x v="13"/>
    <x v="51"/>
    <x v="49"/>
    <x v="86"/>
    <x v="388"/>
    <x v="1"/>
  </r>
  <r>
    <x v="0"/>
    <x v="61"/>
    <x v="61"/>
    <x v="4"/>
    <x v="4"/>
    <x v="4"/>
    <x v="14"/>
    <x v="206"/>
    <x v="13"/>
    <x v="58"/>
    <x v="139"/>
    <x v="141"/>
    <x v="345"/>
    <x v="1"/>
  </r>
  <r>
    <x v="0"/>
    <x v="61"/>
    <x v="61"/>
    <x v="0"/>
    <x v="0"/>
    <x v="0"/>
    <x v="14"/>
    <x v="206"/>
    <x v="13"/>
    <x v="48"/>
    <x v="328"/>
    <x v="44"/>
    <x v="170"/>
    <x v="1"/>
  </r>
  <r>
    <x v="0"/>
    <x v="61"/>
    <x v="61"/>
    <x v="5"/>
    <x v="5"/>
    <x v="5"/>
    <x v="14"/>
    <x v="206"/>
    <x v="13"/>
    <x v="48"/>
    <x v="328"/>
    <x v="44"/>
    <x v="170"/>
    <x v="1"/>
  </r>
  <r>
    <x v="0"/>
    <x v="61"/>
    <x v="61"/>
    <x v="3"/>
    <x v="3"/>
    <x v="3"/>
    <x v="14"/>
    <x v="206"/>
    <x v="13"/>
    <x v="58"/>
    <x v="139"/>
    <x v="141"/>
    <x v="345"/>
    <x v="1"/>
  </r>
  <r>
    <x v="0"/>
    <x v="62"/>
    <x v="62"/>
    <x v="1"/>
    <x v="1"/>
    <x v="1"/>
    <x v="0"/>
    <x v="51"/>
    <x v="325"/>
    <x v="39"/>
    <x v="549"/>
    <x v="101"/>
    <x v="105"/>
    <x v="1"/>
  </r>
  <r>
    <x v="0"/>
    <x v="62"/>
    <x v="62"/>
    <x v="17"/>
    <x v="17"/>
    <x v="17"/>
    <x v="1"/>
    <x v="200"/>
    <x v="326"/>
    <x v="46"/>
    <x v="203"/>
    <x v="57"/>
    <x v="389"/>
    <x v="1"/>
  </r>
  <r>
    <x v="0"/>
    <x v="62"/>
    <x v="62"/>
    <x v="0"/>
    <x v="0"/>
    <x v="0"/>
    <x v="2"/>
    <x v="201"/>
    <x v="327"/>
    <x v="57"/>
    <x v="550"/>
    <x v="44"/>
    <x v="95"/>
    <x v="1"/>
  </r>
  <r>
    <x v="0"/>
    <x v="62"/>
    <x v="62"/>
    <x v="6"/>
    <x v="6"/>
    <x v="6"/>
    <x v="3"/>
    <x v="203"/>
    <x v="328"/>
    <x v="44"/>
    <x v="102"/>
    <x v="101"/>
    <x v="105"/>
    <x v="1"/>
  </r>
  <r>
    <x v="0"/>
    <x v="62"/>
    <x v="62"/>
    <x v="9"/>
    <x v="9"/>
    <x v="9"/>
    <x v="4"/>
    <x v="205"/>
    <x v="289"/>
    <x v="41"/>
    <x v="350"/>
    <x v="86"/>
    <x v="390"/>
    <x v="1"/>
  </r>
  <r>
    <x v="0"/>
    <x v="62"/>
    <x v="62"/>
    <x v="3"/>
    <x v="3"/>
    <x v="3"/>
    <x v="4"/>
    <x v="205"/>
    <x v="289"/>
    <x v="45"/>
    <x v="396"/>
    <x v="141"/>
    <x v="345"/>
    <x v="1"/>
  </r>
  <r>
    <x v="0"/>
    <x v="62"/>
    <x v="62"/>
    <x v="14"/>
    <x v="14"/>
    <x v="14"/>
    <x v="4"/>
    <x v="205"/>
    <x v="289"/>
    <x v="48"/>
    <x v="551"/>
    <x v="101"/>
    <x v="105"/>
    <x v="1"/>
  </r>
  <r>
    <x v="0"/>
    <x v="62"/>
    <x v="62"/>
    <x v="10"/>
    <x v="10"/>
    <x v="10"/>
    <x v="7"/>
    <x v="206"/>
    <x v="162"/>
    <x v="48"/>
    <x v="551"/>
    <x v="44"/>
    <x v="95"/>
    <x v="1"/>
  </r>
  <r>
    <x v="0"/>
    <x v="62"/>
    <x v="62"/>
    <x v="33"/>
    <x v="33"/>
    <x v="33"/>
    <x v="7"/>
    <x v="206"/>
    <x v="162"/>
    <x v="58"/>
    <x v="552"/>
    <x v="141"/>
    <x v="345"/>
    <x v="1"/>
  </r>
  <r>
    <x v="0"/>
    <x v="62"/>
    <x v="62"/>
    <x v="12"/>
    <x v="12"/>
    <x v="12"/>
    <x v="9"/>
    <x v="207"/>
    <x v="179"/>
    <x v="41"/>
    <x v="350"/>
    <x v="89"/>
    <x v="272"/>
    <x v="1"/>
  </r>
  <r>
    <x v="0"/>
    <x v="62"/>
    <x v="62"/>
    <x v="59"/>
    <x v="59"/>
    <x v="59"/>
    <x v="9"/>
    <x v="207"/>
    <x v="179"/>
    <x v="48"/>
    <x v="551"/>
    <x v="141"/>
    <x v="345"/>
    <x v="1"/>
  </r>
  <r>
    <x v="0"/>
    <x v="62"/>
    <x v="62"/>
    <x v="7"/>
    <x v="7"/>
    <x v="7"/>
    <x v="9"/>
    <x v="207"/>
    <x v="179"/>
    <x v="51"/>
    <x v="49"/>
    <x v="51"/>
    <x v="302"/>
    <x v="1"/>
  </r>
  <r>
    <x v="0"/>
    <x v="62"/>
    <x v="62"/>
    <x v="2"/>
    <x v="2"/>
    <x v="2"/>
    <x v="9"/>
    <x v="207"/>
    <x v="179"/>
    <x v="48"/>
    <x v="551"/>
    <x v="141"/>
    <x v="345"/>
    <x v="1"/>
  </r>
  <r>
    <x v="0"/>
    <x v="62"/>
    <x v="62"/>
    <x v="25"/>
    <x v="25"/>
    <x v="25"/>
    <x v="13"/>
    <x v="209"/>
    <x v="82"/>
    <x v="51"/>
    <x v="49"/>
    <x v="89"/>
    <x v="272"/>
    <x v="1"/>
  </r>
  <r>
    <x v="0"/>
    <x v="62"/>
    <x v="62"/>
    <x v="72"/>
    <x v="72"/>
    <x v="72"/>
    <x v="13"/>
    <x v="209"/>
    <x v="82"/>
    <x v="41"/>
    <x v="350"/>
    <x v="101"/>
    <x v="105"/>
    <x v="1"/>
  </r>
  <r>
    <x v="0"/>
    <x v="62"/>
    <x v="62"/>
    <x v="78"/>
    <x v="78"/>
    <x v="78"/>
    <x v="13"/>
    <x v="209"/>
    <x v="82"/>
    <x v="51"/>
    <x v="49"/>
    <x v="89"/>
    <x v="272"/>
    <x v="1"/>
  </r>
  <r>
    <x v="0"/>
    <x v="62"/>
    <x v="62"/>
    <x v="68"/>
    <x v="68"/>
    <x v="68"/>
    <x v="13"/>
    <x v="209"/>
    <x v="82"/>
    <x v="46"/>
    <x v="203"/>
    <x v="44"/>
    <x v="95"/>
    <x v="1"/>
  </r>
  <r>
    <x v="0"/>
    <x v="62"/>
    <x v="62"/>
    <x v="20"/>
    <x v="20"/>
    <x v="20"/>
    <x v="13"/>
    <x v="209"/>
    <x v="82"/>
    <x v="46"/>
    <x v="203"/>
    <x v="44"/>
    <x v="95"/>
    <x v="1"/>
  </r>
  <r>
    <x v="0"/>
    <x v="62"/>
    <x v="62"/>
    <x v="47"/>
    <x v="47"/>
    <x v="47"/>
    <x v="13"/>
    <x v="209"/>
    <x v="82"/>
    <x v="42"/>
    <x v="399"/>
    <x v="141"/>
    <x v="345"/>
    <x v="1"/>
  </r>
  <r>
    <x v="0"/>
    <x v="62"/>
    <x v="62"/>
    <x v="35"/>
    <x v="35"/>
    <x v="35"/>
    <x v="13"/>
    <x v="209"/>
    <x v="82"/>
    <x v="42"/>
    <x v="399"/>
    <x v="141"/>
    <x v="345"/>
    <x v="1"/>
  </r>
  <r>
    <x v="0"/>
    <x v="62"/>
    <x v="62"/>
    <x v="18"/>
    <x v="18"/>
    <x v="18"/>
    <x v="13"/>
    <x v="209"/>
    <x v="82"/>
    <x v="41"/>
    <x v="350"/>
    <x v="101"/>
    <x v="105"/>
    <x v="1"/>
  </r>
  <r>
    <x v="0"/>
    <x v="63"/>
    <x v="63"/>
    <x v="6"/>
    <x v="6"/>
    <x v="6"/>
    <x v="0"/>
    <x v="193"/>
    <x v="329"/>
    <x v="63"/>
    <x v="242"/>
    <x v="44"/>
    <x v="249"/>
    <x v="1"/>
  </r>
  <r>
    <x v="0"/>
    <x v="63"/>
    <x v="63"/>
    <x v="0"/>
    <x v="0"/>
    <x v="0"/>
    <x v="1"/>
    <x v="198"/>
    <x v="330"/>
    <x v="71"/>
    <x v="363"/>
    <x v="101"/>
    <x v="50"/>
    <x v="1"/>
  </r>
  <r>
    <x v="0"/>
    <x v="63"/>
    <x v="63"/>
    <x v="10"/>
    <x v="10"/>
    <x v="10"/>
    <x v="2"/>
    <x v="200"/>
    <x v="331"/>
    <x v="62"/>
    <x v="553"/>
    <x v="51"/>
    <x v="391"/>
    <x v="1"/>
  </r>
  <r>
    <x v="0"/>
    <x v="63"/>
    <x v="63"/>
    <x v="12"/>
    <x v="12"/>
    <x v="12"/>
    <x v="3"/>
    <x v="202"/>
    <x v="332"/>
    <x v="58"/>
    <x v="336"/>
    <x v="86"/>
    <x v="384"/>
    <x v="1"/>
  </r>
  <r>
    <x v="0"/>
    <x v="63"/>
    <x v="63"/>
    <x v="14"/>
    <x v="14"/>
    <x v="14"/>
    <x v="3"/>
    <x v="202"/>
    <x v="332"/>
    <x v="62"/>
    <x v="553"/>
    <x v="101"/>
    <x v="50"/>
    <x v="1"/>
  </r>
  <r>
    <x v="0"/>
    <x v="63"/>
    <x v="63"/>
    <x v="9"/>
    <x v="9"/>
    <x v="9"/>
    <x v="5"/>
    <x v="208"/>
    <x v="333"/>
    <x v="48"/>
    <x v="306"/>
    <x v="51"/>
    <x v="391"/>
    <x v="1"/>
  </r>
  <r>
    <x v="0"/>
    <x v="63"/>
    <x v="63"/>
    <x v="46"/>
    <x v="46"/>
    <x v="46"/>
    <x v="5"/>
    <x v="208"/>
    <x v="333"/>
    <x v="58"/>
    <x v="336"/>
    <x v="89"/>
    <x v="104"/>
    <x v="1"/>
  </r>
  <r>
    <x v="0"/>
    <x v="63"/>
    <x v="63"/>
    <x v="17"/>
    <x v="17"/>
    <x v="17"/>
    <x v="7"/>
    <x v="204"/>
    <x v="66"/>
    <x v="51"/>
    <x v="49"/>
    <x v="90"/>
    <x v="392"/>
    <x v="1"/>
  </r>
  <r>
    <x v="0"/>
    <x v="63"/>
    <x v="63"/>
    <x v="15"/>
    <x v="15"/>
    <x v="15"/>
    <x v="7"/>
    <x v="204"/>
    <x v="66"/>
    <x v="58"/>
    <x v="336"/>
    <x v="101"/>
    <x v="50"/>
    <x v="1"/>
  </r>
  <r>
    <x v="0"/>
    <x v="63"/>
    <x v="63"/>
    <x v="18"/>
    <x v="18"/>
    <x v="18"/>
    <x v="7"/>
    <x v="204"/>
    <x v="66"/>
    <x v="58"/>
    <x v="336"/>
    <x v="101"/>
    <x v="50"/>
    <x v="1"/>
  </r>
  <r>
    <x v="0"/>
    <x v="63"/>
    <x v="63"/>
    <x v="2"/>
    <x v="2"/>
    <x v="2"/>
    <x v="7"/>
    <x v="204"/>
    <x v="66"/>
    <x v="44"/>
    <x v="554"/>
    <x v="141"/>
    <x v="345"/>
    <x v="1"/>
  </r>
  <r>
    <x v="0"/>
    <x v="63"/>
    <x v="63"/>
    <x v="59"/>
    <x v="59"/>
    <x v="59"/>
    <x v="11"/>
    <x v="205"/>
    <x v="68"/>
    <x v="45"/>
    <x v="555"/>
    <x v="141"/>
    <x v="345"/>
    <x v="1"/>
  </r>
  <r>
    <x v="0"/>
    <x v="63"/>
    <x v="63"/>
    <x v="68"/>
    <x v="68"/>
    <x v="68"/>
    <x v="11"/>
    <x v="205"/>
    <x v="68"/>
    <x v="58"/>
    <x v="336"/>
    <x v="44"/>
    <x v="249"/>
    <x v="1"/>
  </r>
  <r>
    <x v="0"/>
    <x v="63"/>
    <x v="63"/>
    <x v="4"/>
    <x v="4"/>
    <x v="4"/>
    <x v="11"/>
    <x v="205"/>
    <x v="68"/>
    <x v="45"/>
    <x v="555"/>
    <x v="141"/>
    <x v="345"/>
    <x v="1"/>
  </r>
  <r>
    <x v="0"/>
    <x v="63"/>
    <x v="63"/>
    <x v="1"/>
    <x v="1"/>
    <x v="1"/>
    <x v="14"/>
    <x v="206"/>
    <x v="91"/>
    <x v="41"/>
    <x v="208"/>
    <x v="51"/>
    <x v="391"/>
    <x v="1"/>
  </r>
  <r>
    <x v="0"/>
    <x v="63"/>
    <x v="63"/>
    <x v="79"/>
    <x v="79"/>
    <x v="79"/>
    <x v="14"/>
    <x v="206"/>
    <x v="91"/>
    <x v="42"/>
    <x v="556"/>
    <x v="101"/>
    <x v="50"/>
    <x v="1"/>
  </r>
  <r>
    <x v="0"/>
    <x v="63"/>
    <x v="63"/>
    <x v="16"/>
    <x v="16"/>
    <x v="16"/>
    <x v="16"/>
    <x v="207"/>
    <x v="94"/>
    <x v="51"/>
    <x v="49"/>
    <x v="51"/>
    <x v="391"/>
    <x v="1"/>
  </r>
  <r>
    <x v="0"/>
    <x v="63"/>
    <x v="63"/>
    <x v="80"/>
    <x v="80"/>
    <x v="80"/>
    <x v="16"/>
    <x v="207"/>
    <x v="94"/>
    <x v="42"/>
    <x v="556"/>
    <x v="44"/>
    <x v="249"/>
    <x v="1"/>
  </r>
  <r>
    <x v="0"/>
    <x v="63"/>
    <x v="63"/>
    <x v="11"/>
    <x v="11"/>
    <x v="11"/>
    <x v="16"/>
    <x v="207"/>
    <x v="94"/>
    <x v="48"/>
    <x v="306"/>
    <x v="141"/>
    <x v="345"/>
    <x v="1"/>
  </r>
  <r>
    <x v="0"/>
    <x v="63"/>
    <x v="63"/>
    <x v="28"/>
    <x v="28"/>
    <x v="28"/>
    <x v="16"/>
    <x v="207"/>
    <x v="94"/>
    <x v="46"/>
    <x v="557"/>
    <x v="101"/>
    <x v="50"/>
    <x v="1"/>
  </r>
  <r>
    <x v="0"/>
    <x v="63"/>
    <x v="63"/>
    <x v="50"/>
    <x v="50"/>
    <x v="50"/>
    <x v="16"/>
    <x v="207"/>
    <x v="94"/>
    <x v="48"/>
    <x v="306"/>
    <x v="141"/>
    <x v="345"/>
    <x v="1"/>
  </r>
  <r>
    <x v="0"/>
    <x v="63"/>
    <x v="63"/>
    <x v="69"/>
    <x v="69"/>
    <x v="69"/>
    <x v="16"/>
    <x v="207"/>
    <x v="94"/>
    <x v="42"/>
    <x v="556"/>
    <x v="44"/>
    <x v="249"/>
    <x v="1"/>
  </r>
  <r>
    <x v="0"/>
    <x v="63"/>
    <x v="63"/>
    <x v="22"/>
    <x v="22"/>
    <x v="22"/>
    <x v="16"/>
    <x v="207"/>
    <x v="94"/>
    <x v="48"/>
    <x v="306"/>
    <x v="141"/>
    <x v="345"/>
    <x v="1"/>
  </r>
  <r>
    <x v="0"/>
    <x v="63"/>
    <x v="63"/>
    <x v="3"/>
    <x v="3"/>
    <x v="3"/>
    <x v="16"/>
    <x v="207"/>
    <x v="94"/>
    <x v="48"/>
    <x v="306"/>
    <x v="141"/>
    <x v="345"/>
    <x v="1"/>
  </r>
  <r>
    <x v="0"/>
    <x v="64"/>
    <x v="64"/>
    <x v="0"/>
    <x v="0"/>
    <x v="0"/>
    <x v="0"/>
    <x v="193"/>
    <x v="334"/>
    <x v="63"/>
    <x v="558"/>
    <x v="44"/>
    <x v="321"/>
    <x v="1"/>
  </r>
  <r>
    <x v="0"/>
    <x v="64"/>
    <x v="64"/>
    <x v="47"/>
    <x v="47"/>
    <x v="47"/>
    <x v="1"/>
    <x v="202"/>
    <x v="207"/>
    <x v="62"/>
    <x v="58"/>
    <x v="101"/>
    <x v="150"/>
    <x v="1"/>
  </r>
  <r>
    <x v="0"/>
    <x v="64"/>
    <x v="64"/>
    <x v="15"/>
    <x v="15"/>
    <x v="15"/>
    <x v="2"/>
    <x v="203"/>
    <x v="283"/>
    <x v="58"/>
    <x v="247"/>
    <x v="51"/>
    <x v="393"/>
    <x v="1"/>
  </r>
  <r>
    <x v="0"/>
    <x v="64"/>
    <x v="64"/>
    <x v="6"/>
    <x v="6"/>
    <x v="6"/>
    <x v="2"/>
    <x v="203"/>
    <x v="283"/>
    <x v="62"/>
    <x v="58"/>
    <x v="44"/>
    <x v="321"/>
    <x v="1"/>
  </r>
  <r>
    <x v="0"/>
    <x v="64"/>
    <x v="64"/>
    <x v="33"/>
    <x v="33"/>
    <x v="33"/>
    <x v="4"/>
    <x v="208"/>
    <x v="335"/>
    <x v="62"/>
    <x v="58"/>
    <x v="141"/>
    <x v="345"/>
    <x v="1"/>
  </r>
  <r>
    <x v="0"/>
    <x v="64"/>
    <x v="64"/>
    <x v="17"/>
    <x v="17"/>
    <x v="17"/>
    <x v="5"/>
    <x v="204"/>
    <x v="154"/>
    <x v="41"/>
    <x v="382"/>
    <x v="47"/>
    <x v="394"/>
    <x v="1"/>
  </r>
  <r>
    <x v="0"/>
    <x v="64"/>
    <x v="64"/>
    <x v="81"/>
    <x v="81"/>
    <x v="81"/>
    <x v="5"/>
    <x v="204"/>
    <x v="154"/>
    <x v="41"/>
    <x v="382"/>
    <x v="47"/>
    <x v="394"/>
    <x v="1"/>
  </r>
  <r>
    <x v="0"/>
    <x v="64"/>
    <x v="64"/>
    <x v="11"/>
    <x v="11"/>
    <x v="11"/>
    <x v="5"/>
    <x v="204"/>
    <x v="154"/>
    <x v="58"/>
    <x v="247"/>
    <x v="101"/>
    <x v="150"/>
    <x v="1"/>
  </r>
  <r>
    <x v="0"/>
    <x v="64"/>
    <x v="64"/>
    <x v="35"/>
    <x v="35"/>
    <x v="35"/>
    <x v="5"/>
    <x v="204"/>
    <x v="154"/>
    <x v="44"/>
    <x v="559"/>
    <x v="141"/>
    <x v="345"/>
    <x v="1"/>
  </r>
  <r>
    <x v="0"/>
    <x v="64"/>
    <x v="64"/>
    <x v="79"/>
    <x v="79"/>
    <x v="79"/>
    <x v="9"/>
    <x v="205"/>
    <x v="336"/>
    <x v="42"/>
    <x v="203"/>
    <x v="89"/>
    <x v="57"/>
    <x v="1"/>
  </r>
  <r>
    <x v="0"/>
    <x v="64"/>
    <x v="64"/>
    <x v="4"/>
    <x v="4"/>
    <x v="4"/>
    <x v="9"/>
    <x v="205"/>
    <x v="336"/>
    <x v="45"/>
    <x v="560"/>
    <x v="141"/>
    <x v="345"/>
    <x v="1"/>
  </r>
  <r>
    <x v="0"/>
    <x v="64"/>
    <x v="64"/>
    <x v="5"/>
    <x v="5"/>
    <x v="5"/>
    <x v="9"/>
    <x v="205"/>
    <x v="336"/>
    <x v="45"/>
    <x v="560"/>
    <x v="141"/>
    <x v="345"/>
    <x v="1"/>
  </r>
  <r>
    <x v="0"/>
    <x v="64"/>
    <x v="64"/>
    <x v="64"/>
    <x v="64"/>
    <x v="64"/>
    <x v="12"/>
    <x v="206"/>
    <x v="135"/>
    <x v="46"/>
    <x v="403"/>
    <x v="89"/>
    <x v="57"/>
    <x v="1"/>
  </r>
  <r>
    <x v="0"/>
    <x v="64"/>
    <x v="64"/>
    <x v="10"/>
    <x v="10"/>
    <x v="10"/>
    <x v="12"/>
    <x v="206"/>
    <x v="135"/>
    <x v="58"/>
    <x v="247"/>
    <x v="141"/>
    <x v="345"/>
    <x v="1"/>
  </r>
  <r>
    <x v="0"/>
    <x v="64"/>
    <x v="64"/>
    <x v="1"/>
    <x v="1"/>
    <x v="1"/>
    <x v="12"/>
    <x v="206"/>
    <x v="135"/>
    <x v="48"/>
    <x v="30"/>
    <x v="44"/>
    <x v="321"/>
    <x v="1"/>
  </r>
  <r>
    <x v="0"/>
    <x v="64"/>
    <x v="64"/>
    <x v="48"/>
    <x v="48"/>
    <x v="48"/>
    <x v="12"/>
    <x v="206"/>
    <x v="135"/>
    <x v="48"/>
    <x v="30"/>
    <x v="44"/>
    <x v="321"/>
    <x v="1"/>
  </r>
  <r>
    <x v="0"/>
    <x v="64"/>
    <x v="64"/>
    <x v="2"/>
    <x v="2"/>
    <x v="2"/>
    <x v="12"/>
    <x v="206"/>
    <x v="135"/>
    <x v="58"/>
    <x v="247"/>
    <x v="141"/>
    <x v="345"/>
    <x v="1"/>
  </r>
  <r>
    <x v="0"/>
    <x v="64"/>
    <x v="64"/>
    <x v="3"/>
    <x v="3"/>
    <x v="3"/>
    <x v="12"/>
    <x v="206"/>
    <x v="135"/>
    <x v="42"/>
    <x v="203"/>
    <x v="101"/>
    <x v="150"/>
    <x v="1"/>
  </r>
  <r>
    <x v="0"/>
    <x v="64"/>
    <x v="64"/>
    <x v="16"/>
    <x v="16"/>
    <x v="16"/>
    <x v="18"/>
    <x v="207"/>
    <x v="137"/>
    <x v="42"/>
    <x v="203"/>
    <x v="44"/>
    <x v="321"/>
    <x v="1"/>
  </r>
  <r>
    <x v="0"/>
    <x v="64"/>
    <x v="64"/>
    <x v="12"/>
    <x v="12"/>
    <x v="12"/>
    <x v="18"/>
    <x v="207"/>
    <x v="137"/>
    <x v="46"/>
    <x v="403"/>
    <x v="101"/>
    <x v="150"/>
    <x v="1"/>
  </r>
  <r>
    <x v="0"/>
    <x v="64"/>
    <x v="64"/>
    <x v="18"/>
    <x v="18"/>
    <x v="18"/>
    <x v="18"/>
    <x v="207"/>
    <x v="137"/>
    <x v="48"/>
    <x v="30"/>
    <x v="141"/>
    <x v="345"/>
    <x v="1"/>
  </r>
  <r>
    <x v="0"/>
    <x v="64"/>
    <x v="64"/>
    <x v="14"/>
    <x v="14"/>
    <x v="14"/>
    <x v="18"/>
    <x v="207"/>
    <x v="137"/>
    <x v="46"/>
    <x v="403"/>
    <x v="101"/>
    <x v="150"/>
    <x v="1"/>
  </r>
  <r>
    <x v="0"/>
    <x v="65"/>
    <x v="65"/>
    <x v="12"/>
    <x v="12"/>
    <x v="12"/>
    <x v="0"/>
    <x v="48"/>
    <x v="337"/>
    <x v="81"/>
    <x v="127"/>
    <x v="86"/>
    <x v="395"/>
    <x v="1"/>
  </r>
  <r>
    <x v="0"/>
    <x v="65"/>
    <x v="65"/>
    <x v="17"/>
    <x v="17"/>
    <x v="17"/>
    <x v="1"/>
    <x v="52"/>
    <x v="338"/>
    <x v="58"/>
    <x v="476"/>
    <x v="77"/>
    <x v="396"/>
    <x v="1"/>
  </r>
  <r>
    <x v="0"/>
    <x v="65"/>
    <x v="65"/>
    <x v="0"/>
    <x v="0"/>
    <x v="0"/>
    <x v="1"/>
    <x v="52"/>
    <x v="338"/>
    <x v="39"/>
    <x v="242"/>
    <x v="44"/>
    <x v="27"/>
    <x v="1"/>
  </r>
  <r>
    <x v="0"/>
    <x v="65"/>
    <x v="65"/>
    <x v="2"/>
    <x v="2"/>
    <x v="2"/>
    <x v="3"/>
    <x v="193"/>
    <x v="208"/>
    <x v="80"/>
    <x v="561"/>
    <x v="141"/>
    <x v="345"/>
    <x v="1"/>
  </r>
  <r>
    <x v="0"/>
    <x v="65"/>
    <x v="65"/>
    <x v="6"/>
    <x v="6"/>
    <x v="6"/>
    <x v="4"/>
    <x v="201"/>
    <x v="19"/>
    <x v="71"/>
    <x v="562"/>
    <x v="141"/>
    <x v="345"/>
    <x v="1"/>
  </r>
  <r>
    <x v="0"/>
    <x v="65"/>
    <x v="65"/>
    <x v="59"/>
    <x v="59"/>
    <x v="59"/>
    <x v="5"/>
    <x v="203"/>
    <x v="66"/>
    <x v="44"/>
    <x v="212"/>
    <x v="101"/>
    <x v="128"/>
    <x v="1"/>
  </r>
  <r>
    <x v="0"/>
    <x v="65"/>
    <x v="65"/>
    <x v="9"/>
    <x v="9"/>
    <x v="9"/>
    <x v="5"/>
    <x v="203"/>
    <x v="66"/>
    <x v="58"/>
    <x v="476"/>
    <x v="51"/>
    <x v="354"/>
    <x v="1"/>
  </r>
  <r>
    <x v="0"/>
    <x v="65"/>
    <x v="65"/>
    <x v="49"/>
    <x v="49"/>
    <x v="49"/>
    <x v="7"/>
    <x v="208"/>
    <x v="173"/>
    <x v="42"/>
    <x v="77"/>
    <x v="86"/>
    <x v="395"/>
    <x v="1"/>
  </r>
  <r>
    <x v="0"/>
    <x v="65"/>
    <x v="65"/>
    <x v="11"/>
    <x v="11"/>
    <x v="11"/>
    <x v="7"/>
    <x v="208"/>
    <x v="173"/>
    <x v="48"/>
    <x v="173"/>
    <x v="51"/>
    <x v="354"/>
    <x v="1"/>
  </r>
  <r>
    <x v="0"/>
    <x v="65"/>
    <x v="65"/>
    <x v="48"/>
    <x v="48"/>
    <x v="48"/>
    <x v="7"/>
    <x v="208"/>
    <x v="173"/>
    <x v="45"/>
    <x v="222"/>
    <x v="101"/>
    <x v="128"/>
    <x v="1"/>
  </r>
  <r>
    <x v="0"/>
    <x v="65"/>
    <x v="65"/>
    <x v="4"/>
    <x v="4"/>
    <x v="4"/>
    <x v="7"/>
    <x v="208"/>
    <x v="173"/>
    <x v="62"/>
    <x v="265"/>
    <x v="141"/>
    <x v="345"/>
    <x v="1"/>
  </r>
  <r>
    <x v="0"/>
    <x v="65"/>
    <x v="65"/>
    <x v="14"/>
    <x v="14"/>
    <x v="14"/>
    <x v="7"/>
    <x v="208"/>
    <x v="173"/>
    <x v="62"/>
    <x v="265"/>
    <x v="141"/>
    <x v="345"/>
    <x v="1"/>
  </r>
  <r>
    <x v="0"/>
    <x v="65"/>
    <x v="65"/>
    <x v="16"/>
    <x v="16"/>
    <x v="16"/>
    <x v="12"/>
    <x v="204"/>
    <x v="180"/>
    <x v="41"/>
    <x v="400"/>
    <x v="47"/>
    <x v="397"/>
    <x v="1"/>
  </r>
  <r>
    <x v="0"/>
    <x v="65"/>
    <x v="65"/>
    <x v="47"/>
    <x v="47"/>
    <x v="47"/>
    <x v="13"/>
    <x v="205"/>
    <x v="105"/>
    <x v="58"/>
    <x v="476"/>
    <x v="44"/>
    <x v="27"/>
    <x v="1"/>
  </r>
  <r>
    <x v="0"/>
    <x v="65"/>
    <x v="65"/>
    <x v="29"/>
    <x v="29"/>
    <x v="29"/>
    <x v="13"/>
    <x v="205"/>
    <x v="105"/>
    <x v="45"/>
    <x v="222"/>
    <x v="141"/>
    <x v="345"/>
    <x v="1"/>
  </r>
  <r>
    <x v="0"/>
    <x v="65"/>
    <x v="65"/>
    <x v="3"/>
    <x v="3"/>
    <x v="3"/>
    <x v="13"/>
    <x v="205"/>
    <x v="105"/>
    <x v="45"/>
    <x v="222"/>
    <x v="141"/>
    <x v="345"/>
    <x v="1"/>
  </r>
  <r>
    <x v="0"/>
    <x v="65"/>
    <x v="65"/>
    <x v="70"/>
    <x v="70"/>
    <x v="70"/>
    <x v="16"/>
    <x v="206"/>
    <x v="141"/>
    <x v="58"/>
    <x v="476"/>
    <x v="141"/>
    <x v="345"/>
    <x v="1"/>
  </r>
  <r>
    <x v="0"/>
    <x v="65"/>
    <x v="65"/>
    <x v="81"/>
    <x v="81"/>
    <x v="81"/>
    <x v="16"/>
    <x v="206"/>
    <x v="141"/>
    <x v="48"/>
    <x v="173"/>
    <x v="44"/>
    <x v="27"/>
    <x v="1"/>
  </r>
  <r>
    <x v="0"/>
    <x v="65"/>
    <x v="65"/>
    <x v="82"/>
    <x v="82"/>
    <x v="82"/>
    <x v="16"/>
    <x v="206"/>
    <x v="141"/>
    <x v="46"/>
    <x v="168"/>
    <x v="89"/>
    <x v="299"/>
    <x v="1"/>
  </r>
  <r>
    <x v="0"/>
    <x v="65"/>
    <x v="65"/>
    <x v="30"/>
    <x v="30"/>
    <x v="30"/>
    <x v="16"/>
    <x v="206"/>
    <x v="141"/>
    <x v="42"/>
    <x v="77"/>
    <x v="101"/>
    <x v="128"/>
    <x v="1"/>
  </r>
  <r>
    <x v="0"/>
    <x v="65"/>
    <x v="65"/>
    <x v="15"/>
    <x v="15"/>
    <x v="15"/>
    <x v="16"/>
    <x v="206"/>
    <x v="141"/>
    <x v="58"/>
    <x v="476"/>
    <x v="141"/>
    <x v="345"/>
    <x v="1"/>
  </r>
  <r>
    <x v="0"/>
    <x v="65"/>
    <x v="65"/>
    <x v="46"/>
    <x v="46"/>
    <x v="46"/>
    <x v="16"/>
    <x v="206"/>
    <x v="141"/>
    <x v="42"/>
    <x v="77"/>
    <x v="101"/>
    <x v="128"/>
    <x v="1"/>
  </r>
  <r>
    <x v="0"/>
    <x v="65"/>
    <x v="65"/>
    <x v="68"/>
    <x v="68"/>
    <x v="68"/>
    <x v="16"/>
    <x v="206"/>
    <x v="141"/>
    <x v="58"/>
    <x v="476"/>
    <x v="141"/>
    <x v="345"/>
    <x v="1"/>
  </r>
  <r>
    <x v="0"/>
    <x v="65"/>
    <x v="65"/>
    <x v="10"/>
    <x v="10"/>
    <x v="10"/>
    <x v="16"/>
    <x v="206"/>
    <x v="141"/>
    <x v="58"/>
    <x v="476"/>
    <x v="141"/>
    <x v="345"/>
    <x v="1"/>
  </r>
  <r>
    <x v="0"/>
    <x v="66"/>
    <x v="66"/>
    <x v="12"/>
    <x v="12"/>
    <x v="12"/>
    <x v="0"/>
    <x v="202"/>
    <x v="339"/>
    <x v="50"/>
    <x v="563"/>
    <x v="44"/>
    <x v="398"/>
    <x v="1"/>
  </r>
  <r>
    <x v="0"/>
    <x v="66"/>
    <x v="66"/>
    <x v="15"/>
    <x v="15"/>
    <x v="15"/>
    <x v="1"/>
    <x v="206"/>
    <x v="340"/>
    <x v="58"/>
    <x v="564"/>
    <x v="141"/>
    <x v="345"/>
    <x v="1"/>
  </r>
  <r>
    <x v="0"/>
    <x v="66"/>
    <x v="66"/>
    <x v="0"/>
    <x v="0"/>
    <x v="0"/>
    <x v="1"/>
    <x v="206"/>
    <x v="340"/>
    <x v="58"/>
    <x v="564"/>
    <x v="141"/>
    <x v="345"/>
    <x v="1"/>
  </r>
  <r>
    <x v="0"/>
    <x v="66"/>
    <x v="66"/>
    <x v="83"/>
    <x v="83"/>
    <x v="83"/>
    <x v="3"/>
    <x v="207"/>
    <x v="341"/>
    <x v="46"/>
    <x v="446"/>
    <x v="101"/>
    <x v="399"/>
    <x v="1"/>
  </r>
  <r>
    <x v="0"/>
    <x v="66"/>
    <x v="66"/>
    <x v="10"/>
    <x v="10"/>
    <x v="10"/>
    <x v="3"/>
    <x v="207"/>
    <x v="341"/>
    <x v="48"/>
    <x v="565"/>
    <x v="141"/>
    <x v="345"/>
    <x v="1"/>
  </r>
  <r>
    <x v="0"/>
    <x v="66"/>
    <x v="66"/>
    <x v="64"/>
    <x v="64"/>
    <x v="64"/>
    <x v="5"/>
    <x v="209"/>
    <x v="138"/>
    <x v="51"/>
    <x v="49"/>
    <x v="89"/>
    <x v="400"/>
    <x v="1"/>
  </r>
  <r>
    <x v="0"/>
    <x v="66"/>
    <x v="66"/>
    <x v="6"/>
    <x v="6"/>
    <x v="6"/>
    <x v="5"/>
    <x v="209"/>
    <x v="138"/>
    <x v="42"/>
    <x v="416"/>
    <x v="141"/>
    <x v="345"/>
    <x v="1"/>
  </r>
  <r>
    <x v="0"/>
    <x v="66"/>
    <x v="66"/>
    <x v="47"/>
    <x v="47"/>
    <x v="47"/>
    <x v="5"/>
    <x v="209"/>
    <x v="138"/>
    <x v="42"/>
    <x v="416"/>
    <x v="141"/>
    <x v="345"/>
    <x v="1"/>
  </r>
  <r>
    <x v="0"/>
    <x v="66"/>
    <x v="66"/>
    <x v="14"/>
    <x v="14"/>
    <x v="14"/>
    <x v="5"/>
    <x v="209"/>
    <x v="138"/>
    <x v="46"/>
    <x v="446"/>
    <x v="44"/>
    <x v="398"/>
    <x v="1"/>
  </r>
  <r>
    <x v="0"/>
    <x v="66"/>
    <x v="66"/>
    <x v="17"/>
    <x v="17"/>
    <x v="17"/>
    <x v="9"/>
    <x v="210"/>
    <x v="178"/>
    <x v="51"/>
    <x v="49"/>
    <x v="101"/>
    <x v="399"/>
    <x v="1"/>
  </r>
  <r>
    <x v="0"/>
    <x v="66"/>
    <x v="66"/>
    <x v="9"/>
    <x v="9"/>
    <x v="9"/>
    <x v="9"/>
    <x v="210"/>
    <x v="178"/>
    <x v="46"/>
    <x v="446"/>
    <x v="141"/>
    <x v="345"/>
    <x v="1"/>
  </r>
  <r>
    <x v="0"/>
    <x v="66"/>
    <x v="66"/>
    <x v="84"/>
    <x v="84"/>
    <x v="84"/>
    <x v="9"/>
    <x v="210"/>
    <x v="178"/>
    <x v="46"/>
    <x v="446"/>
    <x v="141"/>
    <x v="345"/>
    <x v="1"/>
  </r>
  <r>
    <x v="0"/>
    <x v="66"/>
    <x v="66"/>
    <x v="43"/>
    <x v="43"/>
    <x v="43"/>
    <x v="9"/>
    <x v="210"/>
    <x v="178"/>
    <x v="41"/>
    <x v="498"/>
    <x v="44"/>
    <x v="398"/>
    <x v="1"/>
  </r>
  <r>
    <x v="0"/>
    <x v="66"/>
    <x v="66"/>
    <x v="85"/>
    <x v="85"/>
    <x v="85"/>
    <x v="9"/>
    <x v="210"/>
    <x v="178"/>
    <x v="46"/>
    <x v="446"/>
    <x v="141"/>
    <x v="345"/>
    <x v="1"/>
  </r>
  <r>
    <x v="0"/>
    <x v="66"/>
    <x v="66"/>
    <x v="53"/>
    <x v="53"/>
    <x v="53"/>
    <x v="9"/>
    <x v="210"/>
    <x v="178"/>
    <x v="41"/>
    <x v="498"/>
    <x v="44"/>
    <x v="398"/>
    <x v="1"/>
  </r>
  <r>
    <x v="0"/>
    <x v="66"/>
    <x v="66"/>
    <x v="68"/>
    <x v="68"/>
    <x v="68"/>
    <x v="9"/>
    <x v="210"/>
    <x v="178"/>
    <x v="46"/>
    <x v="446"/>
    <x v="141"/>
    <x v="345"/>
    <x v="1"/>
  </r>
  <r>
    <x v="0"/>
    <x v="66"/>
    <x v="66"/>
    <x v="3"/>
    <x v="3"/>
    <x v="3"/>
    <x v="9"/>
    <x v="210"/>
    <x v="178"/>
    <x v="46"/>
    <x v="446"/>
    <x v="141"/>
    <x v="345"/>
    <x v="1"/>
  </r>
  <r>
    <x v="0"/>
    <x v="66"/>
    <x v="66"/>
    <x v="39"/>
    <x v="39"/>
    <x v="39"/>
    <x v="9"/>
    <x v="210"/>
    <x v="178"/>
    <x v="51"/>
    <x v="49"/>
    <x v="141"/>
    <x v="345"/>
    <x v="1"/>
  </r>
  <r>
    <x v="0"/>
    <x v="66"/>
    <x v="66"/>
    <x v="86"/>
    <x v="86"/>
    <x v="86"/>
    <x v="9"/>
    <x v="210"/>
    <x v="178"/>
    <x v="51"/>
    <x v="49"/>
    <x v="44"/>
    <x v="398"/>
    <x v="1"/>
  </r>
  <r>
    <x v="0"/>
    <x v="66"/>
    <x v="66"/>
    <x v="87"/>
    <x v="87"/>
    <x v="87"/>
    <x v="19"/>
    <x v="211"/>
    <x v="342"/>
    <x v="51"/>
    <x v="49"/>
    <x v="44"/>
    <x v="398"/>
    <x v="1"/>
  </r>
  <r>
    <x v="0"/>
    <x v="66"/>
    <x v="66"/>
    <x v="16"/>
    <x v="16"/>
    <x v="16"/>
    <x v="19"/>
    <x v="211"/>
    <x v="342"/>
    <x v="51"/>
    <x v="49"/>
    <x v="44"/>
    <x v="398"/>
    <x v="1"/>
  </r>
  <r>
    <x v="0"/>
    <x v="66"/>
    <x v="66"/>
    <x v="21"/>
    <x v="21"/>
    <x v="21"/>
    <x v="19"/>
    <x v="211"/>
    <x v="342"/>
    <x v="41"/>
    <x v="498"/>
    <x v="141"/>
    <x v="345"/>
    <x v="1"/>
  </r>
  <r>
    <x v="0"/>
    <x v="66"/>
    <x v="66"/>
    <x v="59"/>
    <x v="59"/>
    <x v="59"/>
    <x v="19"/>
    <x v="211"/>
    <x v="342"/>
    <x v="41"/>
    <x v="498"/>
    <x v="141"/>
    <x v="345"/>
    <x v="1"/>
  </r>
  <r>
    <x v="0"/>
    <x v="66"/>
    <x v="66"/>
    <x v="88"/>
    <x v="88"/>
    <x v="88"/>
    <x v="19"/>
    <x v="211"/>
    <x v="342"/>
    <x v="41"/>
    <x v="498"/>
    <x v="141"/>
    <x v="345"/>
    <x v="1"/>
  </r>
  <r>
    <x v="0"/>
    <x v="66"/>
    <x v="66"/>
    <x v="80"/>
    <x v="80"/>
    <x v="80"/>
    <x v="19"/>
    <x v="211"/>
    <x v="342"/>
    <x v="41"/>
    <x v="498"/>
    <x v="141"/>
    <x v="345"/>
    <x v="1"/>
  </r>
  <r>
    <x v="0"/>
    <x v="66"/>
    <x v="66"/>
    <x v="23"/>
    <x v="23"/>
    <x v="23"/>
    <x v="19"/>
    <x v="211"/>
    <x v="342"/>
    <x v="41"/>
    <x v="498"/>
    <x v="141"/>
    <x v="345"/>
    <x v="1"/>
  </r>
  <r>
    <x v="0"/>
    <x v="66"/>
    <x v="66"/>
    <x v="40"/>
    <x v="40"/>
    <x v="40"/>
    <x v="19"/>
    <x v="211"/>
    <x v="342"/>
    <x v="41"/>
    <x v="498"/>
    <x v="141"/>
    <x v="345"/>
    <x v="1"/>
  </r>
  <r>
    <x v="0"/>
    <x v="66"/>
    <x v="66"/>
    <x v="24"/>
    <x v="24"/>
    <x v="24"/>
    <x v="19"/>
    <x v="211"/>
    <x v="342"/>
    <x v="51"/>
    <x v="49"/>
    <x v="44"/>
    <x v="398"/>
    <x v="1"/>
  </r>
  <r>
    <x v="0"/>
    <x v="66"/>
    <x v="66"/>
    <x v="81"/>
    <x v="81"/>
    <x v="81"/>
    <x v="19"/>
    <x v="211"/>
    <x v="342"/>
    <x v="41"/>
    <x v="498"/>
    <x v="141"/>
    <x v="345"/>
    <x v="1"/>
  </r>
  <r>
    <x v="0"/>
    <x v="66"/>
    <x v="66"/>
    <x v="89"/>
    <x v="89"/>
    <x v="89"/>
    <x v="19"/>
    <x v="211"/>
    <x v="342"/>
    <x v="41"/>
    <x v="498"/>
    <x v="141"/>
    <x v="345"/>
    <x v="1"/>
  </r>
  <r>
    <x v="0"/>
    <x v="66"/>
    <x v="66"/>
    <x v="57"/>
    <x v="57"/>
    <x v="57"/>
    <x v="19"/>
    <x v="211"/>
    <x v="342"/>
    <x v="41"/>
    <x v="498"/>
    <x v="141"/>
    <x v="345"/>
    <x v="1"/>
  </r>
  <r>
    <x v="0"/>
    <x v="66"/>
    <x v="66"/>
    <x v="90"/>
    <x v="90"/>
    <x v="90"/>
    <x v="19"/>
    <x v="211"/>
    <x v="342"/>
    <x v="41"/>
    <x v="498"/>
    <x v="141"/>
    <x v="345"/>
    <x v="1"/>
  </r>
  <r>
    <x v="0"/>
    <x v="66"/>
    <x v="66"/>
    <x v="91"/>
    <x v="91"/>
    <x v="91"/>
    <x v="19"/>
    <x v="211"/>
    <x v="342"/>
    <x v="41"/>
    <x v="498"/>
    <x v="141"/>
    <x v="345"/>
    <x v="1"/>
  </r>
  <r>
    <x v="0"/>
    <x v="66"/>
    <x v="66"/>
    <x v="92"/>
    <x v="92"/>
    <x v="92"/>
    <x v="19"/>
    <x v="211"/>
    <x v="342"/>
    <x v="41"/>
    <x v="498"/>
    <x v="141"/>
    <x v="345"/>
    <x v="1"/>
  </r>
  <r>
    <x v="0"/>
    <x v="66"/>
    <x v="66"/>
    <x v="54"/>
    <x v="54"/>
    <x v="54"/>
    <x v="19"/>
    <x v="211"/>
    <x v="342"/>
    <x v="41"/>
    <x v="498"/>
    <x v="141"/>
    <x v="345"/>
    <x v="1"/>
  </r>
  <r>
    <x v="0"/>
    <x v="66"/>
    <x v="66"/>
    <x v="93"/>
    <x v="93"/>
    <x v="93"/>
    <x v="19"/>
    <x v="211"/>
    <x v="342"/>
    <x v="51"/>
    <x v="49"/>
    <x v="44"/>
    <x v="398"/>
    <x v="1"/>
  </r>
  <r>
    <x v="0"/>
    <x v="66"/>
    <x v="66"/>
    <x v="94"/>
    <x v="94"/>
    <x v="94"/>
    <x v="19"/>
    <x v="211"/>
    <x v="342"/>
    <x v="41"/>
    <x v="498"/>
    <x v="141"/>
    <x v="345"/>
    <x v="1"/>
  </r>
  <r>
    <x v="0"/>
    <x v="66"/>
    <x v="66"/>
    <x v="72"/>
    <x v="72"/>
    <x v="72"/>
    <x v="19"/>
    <x v="211"/>
    <x v="342"/>
    <x v="51"/>
    <x v="49"/>
    <x v="44"/>
    <x v="398"/>
    <x v="1"/>
  </r>
  <r>
    <x v="0"/>
    <x v="66"/>
    <x v="66"/>
    <x v="95"/>
    <x v="95"/>
    <x v="95"/>
    <x v="19"/>
    <x v="211"/>
    <x v="342"/>
    <x v="51"/>
    <x v="49"/>
    <x v="141"/>
    <x v="345"/>
    <x v="1"/>
  </r>
  <r>
    <x v="0"/>
    <x v="66"/>
    <x v="66"/>
    <x v="96"/>
    <x v="96"/>
    <x v="96"/>
    <x v="19"/>
    <x v="211"/>
    <x v="342"/>
    <x v="41"/>
    <x v="498"/>
    <x v="141"/>
    <x v="345"/>
    <x v="1"/>
  </r>
  <r>
    <x v="0"/>
    <x v="66"/>
    <x v="66"/>
    <x v="97"/>
    <x v="97"/>
    <x v="97"/>
    <x v="19"/>
    <x v="211"/>
    <x v="342"/>
    <x v="51"/>
    <x v="49"/>
    <x v="44"/>
    <x v="398"/>
    <x v="1"/>
  </r>
  <r>
    <x v="0"/>
    <x v="66"/>
    <x v="66"/>
    <x v="98"/>
    <x v="98"/>
    <x v="98"/>
    <x v="19"/>
    <x v="211"/>
    <x v="342"/>
    <x v="51"/>
    <x v="49"/>
    <x v="141"/>
    <x v="345"/>
    <x v="1"/>
  </r>
  <r>
    <x v="0"/>
    <x v="66"/>
    <x v="66"/>
    <x v="67"/>
    <x v="67"/>
    <x v="67"/>
    <x v="19"/>
    <x v="211"/>
    <x v="342"/>
    <x v="41"/>
    <x v="498"/>
    <x v="141"/>
    <x v="345"/>
    <x v="1"/>
  </r>
  <r>
    <x v="0"/>
    <x v="66"/>
    <x v="66"/>
    <x v="11"/>
    <x v="11"/>
    <x v="11"/>
    <x v="19"/>
    <x v="211"/>
    <x v="342"/>
    <x v="41"/>
    <x v="498"/>
    <x v="141"/>
    <x v="345"/>
    <x v="1"/>
  </r>
  <r>
    <x v="0"/>
    <x v="66"/>
    <x v="66"/>
    <x v="50"/>
    <x v="50"/>
    <x v="50"/>
    <x v="19"/>
    <x v="211"/>
    <x v="342"/>
    <x v="51"/>
    <x v="49"/>
    <x v="44"/>
    <x v="398"/>
    <x v="1"/>
  </r>
  <r>
    <x v="0"/>
    <x v="66"/>
    <x v="66"/>
    <x v="60"/>
    <x v="60"/>
    <x v="60"/>
    <x v="19"/>
    <x v="211"/>
    <x v="342"/>
    <x v="51"/>
    <x v="49"/>
    <x v="44"/>
    <x v="398"/>
    <x v="1"/>
  </r>
  <r>
    <x v="0"/>
    <x v="66"/>
    <x v="66"/>
    <x v="99"/>
    <x v="99"/>
    <x v="99"/>
    <x v="19"/>
    <x v="211"/>
    <x v="342"/>
    <x v="41"/>
    <x v="498"/>
    <x v="141"/>
    <x v="345"/>
    <x v="1"/>
  </r>
  <r>
    <x v="0"/>
    <x v="66"/>
    <x v="66"/>
    <x v="36"/>
    <x v="36"/>
    <x v="36"/>
    <x v="19"/>
    <x v="211"/>
    <x v="342"/>
    <x v="51"/>
    <x v="49"/>
    <x v="44"/>
    <x v="398"/>
    <x v="1"/>
  </r>
  <r>
    <x v="0"/>
    <x v="66"/>
    <x v="66"/>
    <x v="20"/>
    <x v="20"/>
    <x v="20"/>
    <x v="19"/>
    <x v="211"/>
    <x v="342"/>
    <x v="51"/>
    <x v="49"/>
    <x v="44"/>
    <x v="398"/>
    <x v="1"/>
  </r>
  <r>
    <x v="0"/>
    <x v="66"/>
    <x v="66"/>
    <x v="100"/>
    <x v="100"/>
    <x v="100"/>
    <x v="19"/>
    <x v="211"/>
    <x v="342"/>
    <x v="51"/>
    <x v="49"/>
    <x v="44"/>
    <x v="398"/>
    <x v="1"/>
  </r>
  <r>
    <x v="0"/>
    <x v="66"/>
    <x v="66"/>
    <x v="48"/>
    <x v="48"/>
    <x v="48"/>
    <x v="19"/>
    <x v="211"/>
    <x v="342"/>
    <x v="41"/>
    <x v="498"/>
    <x v="141"/>
    <x v="345"/>
    <x v="1"/>
  </r>
  <r>
    <x v="0"/>
    <x v="66"/>
    <x v="66"/>
    <x v="35"/>
    <x v="35"/>
    <x v="35"/>
    <x v="19"/>
    <x v="211"/>
    <x v="342"/>
    <x v="41"/>
    <x v="498"/>
    <x v="141"/>
    <x v="345"/>
    <x v="1"/>
  </r>
  <r>
    <x v="0"/>
    <x v="66"/>
    <x v="66"/>
    <x v="2"/>
    <x v="2"/>
    <x v="2"/>
    <x v="19"/>
    <x v="211"/>
    <x v="342"/>
    <x v="41"/>
    <x v="498"/>
    <x v="141"/>
    <x v="345"/>
    <x v="1"/>
  </r>
  <r>
    <x v="0"/>
    <x v="66"/>
    <x v="66"/>
    <x v="101"/>
    <x v="101"/>
    <x v="101"/>
    <x v="19"/>
    <x v="211"/>
    <x v="342"/>
    <x v="41"/>
    <x v="498"/>
    <x v="141"/>
    <x v="345"/>
    <x v="1"/>
  </r>
  <r>
    <x v="0"/>
    <x v="66"/>
    <x v="66"/>
    <x v="102"/>
    <x v="102"/>
    <x v="102"/>
    <x v="19"/>
    <x v="211"/>
    <x v="342"/>
    <x v="41"/>
    <x v="498"/>
    <x v="141"/>
    <x v="345"/>
    <x v="1"/>
  </r>
  <r>
    <x v="0"/>
    <x v="66"/>
    <x v="66"/>
    <x v="103"/>
    <x v="103"/>
    <x v="103"/>
    <x v="19"/>
    <x v="211"/>
    <x v="342"/>
    <x v="51"/>
    <x v="49"/>
    <x v="141"/>
    <x v="345"/>
    <x v="1"/>
  </r>
  <r>
    <x v="0"/>
    <x v="66"/>
    <x v="66"/>
    <x v="5"/>
    <x v="5"/>
    <x v="5"/>
    <x v="19"/>
    <x v="211"/>
    <x v="342"/>
    <x v="41"/>
    <x v="498"/>
    <x v="141"/>
    <x v="345"/>
    <x v="1"/>
  </r>
  <r>
    <x v="0"/>
    <x v="66"/>
    <x v="66"/>
    <x v="65"/>
    <x v="65"/>
    <x v="65"/>
    <x v="19"/>
    <x v="211"/>
    <x v="342"/>
    <x v="41"/>
    <x v="498"/>
    <x v="141"/>
    <x v="345"/>
    <x v="1"/>
  </r>
  <r>
    <x v="0"/>
    <x v="66"/>
    <x v="66"/>
    <x v="104"/>
    <x v="104"/>
    <x v="104"/>
    <x v="19"/>
    <x v="211"/>
    <x v="342"/>
    <x v="51"/>
    <x v="49"/>
    <x v="141"/>
    <x v="345"/>
    <x v="1"/>
  </r>
  <r>
    <x v="0"/>
    <x v="67"/>
    <x v="67"/>
    <x v="14"/>
    <x v="14"/>
    <x v="14"/>
    <x v="0"/>
    <x v="201"/>
    <x v="343"/>
    <x v="57"/>
    <x v="52"/>
    <x v="44"/>
    <x v="126"/>
    <x v="1"/>
  </r>
  <r>
    <x v="0"/>
    <x v="67"/>
    <x v="67"/>
    <x v="17"/>
    <x v="17"/>
    <x v="17"/>
    <x v="1"/>
    <x v="202"/>
    <x v="344"/>
    <x v="41"/>
    <x v="159"/>
    <x v="72"/>
    <x v="401"/>
    <x v="1"/>
  </r>
  <r>
    <x v="0"/>
    <x v="67"/>
    <x v="67"/>
    <x v="0"/>
    <x v="0"/>
    <x v="0"/>
    <x v="1"/>
    <x v="202"/>
    <x v="344"/>
    <x v="50"/>
    <x v="566"/>
    <x v="44"/>
    <x v="126"/>
    <x v="1"/>
  </r>
  <r>
    <x v="0"/>
    <x v="67"/>
    <x v="67"/>
    <x v="6"/>
    <x v="6"/>
    <x v="6"/>
    <x v="3"/>
    <x v="203"/>
    <x v="222"/>
    <x v="62"/>
    <x v="459"/>
    <x v="44"/>
    <x v="126"/>
    <x v="1"/>
  </r>
  <r>
    <x v="0"/>
    <x v="67"/>
    <x v="67"/>
    <x v="2"/>
    <x v="2"/>
    <x v="2"/>
    <x v="3"/>
    <x v="203"/>
    <x v="222"/>
    <x v="50"/>
    <x v="566"/>
    <x v="141"/>
    <x v="345"/>
    <x v="1"/>
  </r>
  <r>
    <x v="0"/>
    <x v="67"/>
    <x v="67"/>
    <x v="9"/>
    <x v="9"/>
    <x v="9"/>
    <x v="5"/>
    <x v="204"/>
    <x v="305"/>
    <x v="42"/>
    <x v="460"/>
    <x v="51"/>
    <x v="402"/>
    <x v="1"/>
  </r>
  <r>
    <x v="0"/>
    <x v="67"/>
    <x v="67"/>
    <x v="3"/>
    <x v="3"/>
    <x v="3"/>
    <x v="5"/>
    <x v="204"/>
    <x v="305"/>
    <x v="45"/>
    <x v="567"/>
    <x v="44"/>
    <x v="126"/>
    <x v="1"/>
  </r>
  <r>
    <x v="0"/>
    <x v="67"/>
    <x v="67"/>
    <x v="12"/>
    <x v="12"/>
    <x v="12"/>
    <x v="7"/>
    <x v="205"/>
    <x v="4"/>
    <x v="45"/>
    <x v="567"/>
    <x v="141"/>
    <x v="345"/>
    <x v="1"/>
  </r>
  <r>
    <x v="0"/>
    <x v="67"/>
    <x v="67"/>
    <x v="8"/>
    <x v="8"/>
    <x v="8"/>
    <x v="7"/>
    <x v="205"/>
    <x v="4"/>
    <x v="46"/>
    <x v="325"/>
    <x v="51"/>
    <x v="402"/>
    <x v="1"/>
  </r>
  <r>
    <x v="0"/>
    <x v="67"/>
    <x v="67"/>
    <x v="43"/>
    <x v="43"/>
    <x v="43"/>
    <x v="7"/>
    <x v="205"/>
    <x v="4"/>
    <x v="46"/>
    <x v="325"/>
    <x v="51"/>
    <x v="402"/>
    <x v="1"/>
  </r>
  <r>
    <x v="0"/>
    <x v="67"/>
    <x v="67"/>
    <x v="73"/>
    <x v="73"/>
    <x v="73"/>
    <x v="10"/>
    <x v="206"/>
    <x v="165"/>
    <x v="46"/>
    <x v="325"/>
    <x v="89"/>
    <x v="78"/>
    <x v="1"/>
  </r>
  <r>
    <x v="0"/>
    <x v="67"/>
    <x v="67"/>
    <x v="21"/>
    <x v="21"/>
    <x v="21"/>
    <x v="11"/>
    <x v="207"/>
    <x v="151"/>
    <x v="46"/>
    <x v="325"/>
    <x v="101"/>
    <x v="403"/>
    <x v="1"/>
  </r>
  <r>
    <x v="0"/>
    <x v="67"/>
    <x v="67"/>
    <x v="25"/>
    <x v="25"/>
    <x v="25"/>
    <x v="11"/>
    <x v="207"/>
    <x v="151"/>
    <x v="42"/>
    <x v="460"/>
    <x v="44"/>
    <x v="126"/>
    <x v="1"/>
  </r>
  <r>
    <x v="0"/>
    <x v="67"/>
    <x v="67"/>
    <x v="105"/>
    <x v="105"/>
    <x v="105"/>
    <x v="11"/>
    <x v="207"/>
    <x v="151"/>
    <x v="46"/>
    <x v="325"/>
    <x v="101"/>
    <x v="403"/>
    <x v="1"/>
  </r>
  <r>
    <x v="0"/>
    <x v="67"/>
    <x v="67"/>
    <x v="20"/>
    <x v="20"/>
    <x v="20"/>
    <x v="11"/>
    <x v="207"/>
    <x v="151"/>
    <x v="41"/>
    <x v="159"/>
    <x v="89"/>
    <x v="78"/>
    <x v="1"/>
  </r>
  <r>
    <x v="0"/>
    <x v="67"/>
    <x v="67"/>
    <x v="4"/>
    <x v="4"/>
    <x v="4"/>
    <x v="11"/>
    <x v="207"/>
    <x v="151"/>
    <x v="48"/>
    <x v="324"/>
    <x v="141"/>
    <x v="345"/>
    <x v="1"/>
  </r>
  <r>
    <x v="0"/>
    <x v="67"/>
    <x v="67"/>
    <x v="35"/>
    <x v="35"/>
    <x v="35"/>
    <x v="11"/>
    <x v="207"/>
    <x v="151"/>
    <x v="48"/>
    <x v="324"/>
    <x v="141"/>
    <x v="345"/>
    <x v="1"/>
  </r>
  <r>
    <x v="0"/>
    <x v="67"/>
    <x v="67"/>
    <x v="16"/>
    <x v="16"/>
    <x v="16"/>
    <x v="17"/>
    <x v="209"/>
    <x v="142"/>
    <x v="41"/>
    <x v="159"/>
    <x v="101"/>
    <x v="403"/>
    <x v="1"/>
  </r>
  <r>
    <x v="0"/>
    <x v="67"/>
    <x v="67"/>
    <x v="81"/>
    <x v="81"/>
    <x v="81"/>
    <x v="17"/>
    <x v="209"/>
    <x v="142"/>
    <x v="41"/>
    <x v="159"/>
    <x v="101"/>
    <x v="403"/>
    <x v="1"/>
  </r>
  <r>
    <x v="0"/>
    <x v="67"/>
    <x v="67"/>
    <x v="106"/>
    <x v="106"/>
    <x v="106"/>
    <x v="17"/>
    <x v="209"/>
    <x v="142"/>
    <x v="42"/>
    <x v="460"/>
    <x v="141"/>
    <x v="345"/>
    <x v="1"/>
  </r>
  <r>
    <x v="0"/>
    <x v="67"/>
    <x v="67"/>
    <x v="11"/>
    <x v="11"/>
    <x v="11"/>
    <x v="17"/>
    <x v="209"/>
    <x v="142"/>
    <x v="42"/>
    <x v="460"/>
    <x v="141"/>
    <x v="345"/>
    <x v="1"/>
  </r>
  <r>
    <x v="0"/>
    <x v="67"/>
    <x v="67"/>
    <x v="50"/>
    <x v="50"/>
    <x v="50"/>
    <x v="17"/>
    <x v="209"/>
    <x v="142"/>
    <x v="41"/>
    <x v="159"/>
    <x v="101"/>
    <x v="403"/>
    <x v="1"/>
  </r>
  <r>
    <x v="0"/>
    <x v="67"/>
    <x v="67"/>
    <x v="10"/>
    <x v="10"/>
    <x v="10"/>
    <x v="17"/>
    <x v="209"/>
    <x v="142"/>
    <x v="46"/>
    <x v="325"/>
    <x v="44"/>
    <x v="126"/>
    <x v="1"/>
  </r>
  <r>
    <x v="0"/>
    <x v="67"/>
    <x v="67"/>
    <x v="61"/>
    <x v="61"/>
    <x v="61"/>
    <x v="17"/>
    <x v="209"/>
    <x v="142"/>
    <x v="41"/>
    <x v="159"/>
    <x v="101"/>
    <x v="403"/>
    <x v="1"/>
  </r>
  <r>
    <x v="0"/>
    <x v="67"/>
    <x v="67"/>
    <x v="37"/>
    <x v="37"/>
    <x v="37"/>
    <x v="17"/>
    <x v="209"/>
    <x v="142"/>
    <x v="42"/>
    <x v="460"/>
    <x v="141"/>
    <x v="345"/>
    <x v="1"/>
  </r>
  <r>
    <x v="0"/>
    <x v="67"/>
    <x v="67"/>
    <x v="107"/>
    <x v="107"/>
    <x v="107"/>
    <x v="17"/>
    <x v="209"/>
    <x v="142"/>
    <x v="51"/>
    <x v="49"/>
    <x v="89"/>
    <x v="78"/>
    <x v="1"/>
  </r>
  <r>
    <x v="0"/>
    <x v="68"/>
    <x v="68"/>
    <x v="17"/>
    <x v="17"/>
    <x v="17"/>
    <x v="0"/>
    <x v="193"/>
    <x v="345"/>
    <x v="42"/>
    <x v="537"/>
    <x v="52"/>
    <x v="404"/>
    <x v="1"/>
  </r>
  <r>
    <x v="0"/>
    <x v="68"/>
    <x v="68"/>
    <x v="12"/>
    <x v="12"/>
    <x v="12"/>
    <x v="1"/>
    <x v="200"/>
    <x v="346"/>
    <x v="71"/>
    <x v="568"/>
    <x v="44"/>
    <x v="126"/>
    <x v="1"/>
  </r>
  <r>
    <x v="0"/>
    <x v="68"/>
    <x v="68"/>
    <x v="2"/>
    <x v="2"/>
    <x v="2"/>
    <x v="2"/>
    <x v="202"/>
    <x v="341"/>
    <x v="57"/>
    <x v="569"/>
    <x v="141"/>
    <x v="345"/>
    <x v="1"/>
  </r>
  <r>
    <x v="0"/>
    <x v="68"/>
    <x v="68"/>
    <x v="14"/>
    <x v="14"/>
    <x v="14"/>
    <x v="2"/>
    <x v="202"/>
    <x v="341"/>
    <x v="62"/>
    <x v="570"/>
    <x v="101"/>
    <x v="403"/>
    <x v="1"/>
  </r>
  <r>
    <x v="0"/>
    <x v="68"/>
    <x v="68"/>
    <x v="0"/>
    <x v="0"/>
    <x v="0"/>
    <x v="4"/>
    <x v="203"/>
    <x v="293"/>
    <x v="50"/>
    <x v="571"/>
    <x v="141"/>
    <x v="345"/>
    <x v="1"/>
  </r>
  <r>
    <x v="0"/>
    <x v="68"/>
    <x v="68"/>
    <x v="1"/>
    <x v="1"/>
    <x v="1"/>
    <x v="5"/>
    <x v="204"/>
    <x v="99"/>
    <x v="44"/>
    <x v="572"/>
    <x v="141"/>
    <x v="345"/>
    <x v="1"/>
  </r>
  <r>
    <x v="0"/>
    <x v="68"/>
    <x v="68"/>
    <x v="6"/>
    <x v="6"/>
    <x v="6"/>
    <x v="5"/>
    <x v="204"/>
    <x v="99"/>
    <x v="44"/>
    <x v="572"/>
    <x v="141"/>
    <x v="345"/>
    <x v="1"/>
  </r>
  <r>
    <x v="0"/>
    <x v="68"/>
    <x v="68"/>
    <x v="59"/>
    <x v="59"/>
    <x v="59"/>
    <x v="7"/>
    <x v="205"/>
    <x v="156"/>
    <x v="58"/>
    <x v="219"/>
    <x v="44"/>
    <x v="126"/>
    <x v="1"/>
  </r>
  <r>
    <x v="0"/>
    <x v="68"/>
    <x v="68"/>
    <x v="9"/>
    <x v="9"/>
    <x v="9"/>
    <x v="7"/>
    <x v="205"/>
    <x v="156"/>
    <x v="46"/>
    <x v="573"/>
    <x v="51"/>
    <x v="402"/>
    <x v="1"/>
  </r>
  <r>
    <x v="0"/>
    <x v="68"/>
    <x v="68"/>
    <x v="108"/>
    <x v="108"/>
    <x v="108"/>
    <x v="7"/>
    <x v="205"/>
    <x v="156"/>
    <x v="51"/>
    <x v="49"/>
    <x v="47"/>
    <x v="132"/>
    <x v="1"/>
  </r>
  <r>
    <x v="0"/>
    <x v="68"/>
    <x v="68"/>
    <x v="11"/>
    <x v="11"/>
    <x v="11"/>
    <x v="7"/>
    <x v="205"/>
    <x v="156"/>
    <x v="58"/>
    <x v="219"/>
    <x v="44"/>
    <x v="126"/>
    <x v="1"/>
  </r>
  <r>
    <x v="0"/>
    <x v="68"/>
    <x v="68"/>
    <x v="7"/>
    <x v="7"/>
    <x v="7"/>
    <x v="7"/>
    <x v="205"/>
    <x v="156"/>
    <x v="41"/>
    <x v="574"/>
    <x v="86"/>
    <x v="405"/>
    <x v="1"/>
  </r>
  <r>
    <x v="0"/>
    <x v="68"/>
    <x v="68"/>
    <x v="16"/>
    <x v="16"/>
    <x v="16"/>
    <x v="12"/>
    <x v="206"/>
    <x v="178"/>
    <x v="41"/>
    <x v="574"/>
    <x v="51"/>
    <x v="402"/>
    <x v="1"/>
  </r>
  <r>
    <x v="0"/>
    <x v="68"/>
    <x v="68"/>
    <x v="50"/>
    <x v="50"/>
    <x v="50"/>
    <x v="12"/>
    <x v="206"/>
    <x v="178"/>
    <x v="51"/>
    <x v="49"/>
    <x v="86"/>
    <x v="405"/>
    <x v="1"/>
  </r>
  <r>
    <x v="0"/>
    <x v="68"/>
    <x v="68"/>
    <x v="10"/>
    <x v="10"/>
    <x v="10"/>
    <x v="12"/>
    <x v="206"/>
    <x v="178"/>
    <x v="42"/>
    <x v="537"/>
    <x v="101"/>
    <x v="403"/>
    <x v="1"/>
  </r>
  <r>
    <x v="0"/>
    <x v="68"/>
    <x v="68"/>
    <x v="4"/>
    <x v="4"/>
    <x v="4"/>
    <x v="12"/>
    <x v="206"/>
    <x v="178"/>
    <x v="58"/>
    <x v="219"/>
    <x v="141"/>
    <x v="345"/>
    <x v="1"/>
  </r>
  <r>
    <x v="0"/>
    <x v="68"/>
    <x v="68"/>
    <x v="25"/>
    <x v="25"/>
    <x v="25"/>
    <x v="16"/>
    <x v="207"/>
    <x v="136"/>
    <x v="41"/>
    <x v="574"/>
    <x v="89"/>
    <x v="78"/>
    <x v="1"/>
  </r>
  <r>
    <x v="0"/>
    <x v="68"/>
    <x v="68"/>
    <x v="8"/>
    <x v="8"/>
    <x v="8"/>
    <x v="16"/>
    <x v="207"/>
    <x v="136"/>
    <x v="51"/>
    <x v="49"/>
    <x v="51"/>
    <x v="402"/>
    <x v="1"/>
  </r>
  <r>
    <x v="0"/>
    <x v="68"/>
    <x v="68"/>
    <x v="49"/>
    <x v="49"/>
    <x v="49"/>
    <x v="16"/>
    <x v="207"/>
    <x v="136"/>
    <x v="46"/>
    <x v="573"/>
    <x v="101"/>
    <x v="403"/>
    <x v="1"/>
  </r>
  <r>
    <x v="0"/>
    <x v="68"/>
    <x v="68"/>
    <x v="48"/>
    <x v="48"/>
    <x v="48"/>
    <x v="16"/>
    <x v="207"/>
    <x v="136"/>
    <x v="46"/>
    <x v="573"/>
    <x v="101"/>
    <x v="403"/>
    <x v="1"/>
  </r>
  <r>
    <x v="0"/>
    <x v="68"/>
    <x v="68"/>
    <x v="47"/>
    <x v="47"/>
    <x v="47"/>
    <x v="16"/>
    <x v="207"/>
    <x v="136"/>
    <x v="48"/>
    <x v="575"/>
    <x v="141"/>
    <x v="345"/>
    <x v="1"/>
  </r>
  <r>
    <x v="0"/>
    <x v="69"/>
    <x v="69"/>
    <x v="0"/>
    <x v="0"/>
    <x v="0"/>
    <x v="0"/>
    <x v="69"/>
    <x v="50"/>
    <x v="73"/>
    <x v="576"/>
    <x v="44"/>
    <x v="101"/>
    <x v="1"/>
  </r>
  <r>
    <x v="0"/>
    <x v="69"/>
    <x v="69"/>
    <x v="2"/>
    <x v="2"/>
    <x v="2"/>
    <x v="1"/>
    <x v="48"/>
    <x v="347"/>
    <x v="47"/>
    <x v="577"/>
    <x v="101"/>
    <x v="238"/>
    <x v="1"/>
  </r>
  <r>
    <x v="0"/>
    <x v="69"/>
    <x v="69"/>
    <x v="12"/>
    <x v="12"/>
    <x v="12"/>
    <x v="2"/>
    <x v="53"/>
    <x v="97"/>
    <x v="57"/>
    <x v="240"/>
    <x v="41"/>
    <x v="406"/>
    <x v="1"/>
  </r>
  <r>
    <x v="0"/>
    <x v="69"/>
    <x v="69"/>
    <x v="17"/>
    <x v="17"/>
    <x v="17"/>
    <x v="3"/>
    <x v="193"/>
    <x v="234"/>
    <x v="48"/>
    <x v="287"/>
    <x v="57"/>
    <x v="377"/>
    <x v="1"/>
  </r>
  <r>
    <x v="0"/>
    <x v="69"/>
    <x v="69"/>
    <x v="16"/>
    <x v="16"/>
    <x v="16"/>
    <x v="3"/>
    <x v="193"/>
    <x v="234"/>
    <x v="48"/>
    <x v="287"/>
    <x v="57"/>
    <x v="377"/>
    <x v="1"/>
  </r>
  <r>
    <x v="0"/>
    <x v="69"/>
    <x v="69"/>
    <x v="6"/>
    <x v="6"/>
    <x v="6"/>
    <x v="3"/>
    <x v="193"/>
    <x v="234"/>
    <x v="50"/>
    <x v="236"/>
    <x v="86"/>
    <x v="229"/>
    <x v="1"/>
  </r>
  <r>
    <x v="0"/>
    <x v="69"/>
    <x v="69"/>
    <x v="14"/>
    <x v="14"/>
    <x v="14"/>
    <x v="3"/>
    <x v="193"/>
    <x v="234"/>
    <x v="91"/>
    <x v="378"/>
    <x v="101"/>
    <x v="238"/>
    <x v="1"/>
  </r>
  <r>
    <x v="0"/>
    <x v="69"/>
    <x v="69"/>
    <x v="3"/>
    <x v="3"/>
    <x v="3"/>
    <x v="7"/>
    <x v="198"/>
    <x v="201"/>
    <x v="57"/>
    <x v="240"/>
    <x v="89"/>
    <x v="118"/>
    <x v="1"/>
  </r>
  <r>
    <x v="0"/>
    <x v="69"/>
    <x v="69"/>
    <x v="11"/>
    <x v="11"/>
    <x v="11"/>
    <x v="8"/>
    <x v="200"/>
    <x v="229"/>
    <x v="44"/>
    <x v="113"/>
    <x v="86"/>
    <x v="229"/>
    <x v="1"/>
  </r>
  <r>
    <x v="0"/>
    <x v="69"/>
    <x v="69"/>
    <x v="1"/>
    <x v="1"/>
    <x v="1"/>
    <x v="9"/>
    <x v="201"/>
    <x v="103"/>
    <x v="44"/>
    <x v="113"/>
    <x v="51"/>
    <x v="52"/>
    <x v="1"/>
  </r>
  <r>
    <x v="0"/>
    <x v="69"/>
    <x v="69"/>
    <x v="50"/>
    <x v="50"/>
    <x v="50"/>
    <x v="10"/>
    <x v="202"/>
    <x v="58"/>
    <x v="46"/>
    <x v="8"/>
    <x v="41"/>
    <x v="406"/>
    <x v="1"/>
  </r>
  <r>
    <x v="0"/>
    <x v="69"/>
    <x v="69"/>
    <x v="10"/>
    <x v="10"/>
    <x v="10"/>
    <x v="10"/>
    <x v="202"/>
    <x v="58"/>
    <x v="62"/>
    <x v="411"/>
    <x v="101"/>
    <x v="238"/>
    <x v="1"/>
  </r>
  <r>
    <x v="0"/>
    <x v="69"/>
    <x v="69"/>
    <x v="4"/>
    <x v="4"/>
    <x v="4"/>
    <x v="10"/>
    <x v="202"/>
    <x v="58"/>
    <x v="50"/>
    <x v="236"/>
    <x v="44"/>
    <x v="101"/>
    <x v="1"/>
  </r>
  <r>
    <x v="0"/>
    <x v="69"/>
    <x v="69"/>
    <x v="22"/>
    <x v="22"/>
    <x v="22"/>
    <x v="10"/>
    <x v="202"/>
    <x v="58"/>
    <x v="45"/>
    <x v="328"/>
    <x v="51"/>
    <x v="52"/>
    <x v="1"/>
  </r>
  <r>
    <x v="0"/>
    <x v="69"/>
    <x v="69"/>
    <x v="28"/>
    <x v="28"/>
    <x v="28"/>
    <x v="14"/>
    <x v="203"/>
    <x v="250"/>
    <x v="48"/>
    <x v="287"/>
    <x v="86"/>
    <x v="229"/>
    <x v="1"/>
  </r>
  <r>
    <x v="0"/>
    <x v="69"/>
    <x v="69"/>
    <x v="48"/>
    <x v="48"/>
    <x v="48"/>
    <x v="14"/>
    <x v="203"/>
    <x v="250"/>
    <x v="44"/>
    <x v="113"/>
    <x v="101"/>
    <x v="238"/>
    <x v="1"/>
  </r>
  <r>
    <x v="0"/>
    <x v="69"/>
    <x v="69"/>
    <x v="8"/>
    <x v="8"/>
    <x v="8"/>
    <x v="16"/>
    <x v="208"/>
    <x v="11"/>
    <x v="42"/>
    <x v="345"/>
    <x v="86"/>
    <x v="229"/>
    <x v="1"/>
  </r>
  <r>
    <x v="0"/>
    <x v="69"/>
    <x v="69"/>
    <x v="31"/>
    <x v="31"/>
    <x v="31"/>
    <x v="16"/>
    <x v="208"/>
    <x v="11"/>
    <x v="42"/>
    <x v="345"/>
    <x v="86"/>
    <x v="229"/>
    <x v="1"/>
  </r>
  <r>
    <x v="0"/>
    <x v="69"/>
    <x v="69"/>
    <x v="15"/>
    <x v="15"/>
    <x v="15"/>
    <x v="16"/>
    <x v="208"/>
    <x v="11"/>
    <x v="48"/>
    <x v="287"/>
    <x v="51"/>
    <x v="52"/>
    <x v="1"/>
  </r>
  <r>
    <x v="0"/>
    <x v="69"/>
    <x v="69"/>
    <x v="18"/>
    <x v="18"/>
    <x v="18"/>
    <x v="16"/>
    <x v="208"/>
    <x v="11"/>
    <x v="48"/>
    <x v="287"/>
    <x v="51"/>
    <x v="52"/>
    <x v="1"/>
  </r>
  <r>
    <x v="0"/>
    <x v="70"/>
    <x v="70"/>
    <x v="0"/>
    <x v="0"/>
    <x v="0"/>
    <x v="0"/>
    <x v="82"/>
    <x v="348"/>
    <x v="84"/>
    <x v="578"/>
    <x v="51"/>
    <x v="65"/>
    <x v="1"/>
  </r>
  <r>
    <x v="0"/>
    <x v="70"/>
    <x v="70"/>
    <x v="4"/>
    <x v="4"/>
    <x v="4"/>
    <x v="1"/>
    <x v="43"/>
    <x v="349"/>
    <x v="90"/>
    <x v="362"/>
    <x v="44"/>
    <x v="330"/>
    <x v="1"/>
  </r>
  <r>
    <x v="0"/>
    <x v="70"/>
    <x v="70"/>
    <x v="2"/>
    <x v="2"/>
    <x v="2"/>
    <x v="2"/>
    <x v="46"/>
    <x v="244"/>
    <x v="72"/>
    <x v="579"/>
    <x v="44"/>
    <x v="330"/>
    <x v="1"/>
  </r>
  <r>
    <x v="0"/>
    <x v="70"/>
    <x v="70"/>
    <x v="6"/>
    <x v="6"/>
    <x v="6"/>
    <x v="3"/>
    <x v="49"/>
    <x v="233"/>
    <x v="81"/>
    <x v="580"/>
    <x v="51"/>
    <x v="65"/>
    <x v="1"/>
  </r>
  <r>
    <x v="0"/>
    <x v="70"/>
    <x v="70"/>
    <x v="12"/>
    <x v="12"/>
    <x v="12"/>
    <x v="4"/>
    <x v="92"/>
    <x v="75"/>
    <x v="63"/>
    <x v="581"/>
    <x v="72"/>
    <x v="247"/>
    <x v="1"/>
  </r>
  <r>
    <x v="0"/>
    <x v="70"/>
    <x v="70"/>
    <x v="3"/>
    <x v="3"/>
    <x v="3"/>
    <x v="5"/>
    <x v="50"/>
    <x v="76"/>
    <x v="30"/>
    <x v="464"/>
    <x v="141"/>
    <x v="345"/>
    <x v="1"/>
  </r>
  <r>
    <x v="0"/>
    <x v="70"/>
    <x v="70"/>
    <x v="14"/>
    <x v="14"/>
    <x v="14"/>
    <x v="6"/>
    <x v="51"/>
    <x v="184"/>
    <x v="39"/>
    <x v="349"/>
    <x v="101"/>
    <x v="170"/>
    <x v="1"/>
  </r>
  <r>
    <x v="0"/>
    <x v="70"/>
    <x v="70"/>
    <x v="15"/>
    <x v="15"/>
    <x v="15"/>
    <x v="7"/>
    <x v="54"/>
    <x v="23"/>
    <x v="71"/>
    <x v="582"/>
    <x v="47"/>
    <x v="47"/>
    <x v="1"/>
  </r>
  <r>
    <x v="0"/>
    <x v="70"/>
    <x v="70"/>
    <x v="11"/>
    <x v="11"/>
    <x v="11"/>
    <x v="8"/>
    <x v="55"/>
    <x v="223"/>
    <x v="44"/>
    <x v="583"/>
    <x v="72"/>
    <x v="247"/>
    <x v="1"/>
  </r>
  <r>
    <x v="0"/>
    <x v="70"/>
    <x v="70"/>
    <x v="10"/>
    <x v="10"/>
    <x v="10"/>
    <x v="9"/>
    <x v="96"/>
    <x v="134"/>
    <x v="91"/>
    <x v="235"/>
    <x v="89"/>
    <x v="37"/>
    <x v="1"/>
  </r>
  <r>
    <x v="0"/>
    <x v="70"/>
    <x v="70"/>
    <x v="5"/>
    <x v="5"/>
    <x v="5"/>
    <x v="9"/>
    <x v="96"/>
    <x v="134"/>
    <x v="63"/>
    <x v="581"/>
    <x v="101"/>
    <x v="170"/>
    <x v="1"/>
  </r>
  <r>
    <x v="0"/>
    <x v="70"/>
    <x v="70"/>
    <x v="1"/>
    <x v="1"/>
    <x v="1"/>
    <x v="11"/>
    <x v="193"/>
    <x v="135"/>
    <x v="58"/>
    <x v="293"/>
    <x v="72"/>
    <x v="247"/>
    <x v="1"/>
  </r>
  <r>
    <x v="0"/>
    <x v="70"/>
    <x v="70"/>
    <x v="20"/>
    <x v="20"/>
    <x v="20"/>
    <x v="11"/>
    <x v="193"/>
    <x v="135"/>
    <x v="44"/>
    <x v="583"/>
    <x v="90"/>
    <x v="204"/>
    <x v="1"/>
  </r>
  <r>
    <x v="0"/>
    <x v="70"/>
    <x v="70"/>
    <x v="17"/>
    <x v="17"/>
    <x v="17"/>
    <x v="13"/>
    <x v="198"/>
    <x v="59"/>
    <x v="48"/>
    <x v="210"/>
    <x v="72"/>
    <x v="247"/>
    <x v="1"/>
  </r>
  <r>
    <x v="0"/>
    <x v="70"/>
    <x v="70"/>
    <x v="9"/>
    <x v="9"/>
    <x v="9"/>
    <x v="14"/>
    <x v="200"/>
    <x v="29"/>
    <x v="42"/>
    <x v="25"/>
    <x v="72"/>
    <x v="247"/>
    <x v="1"/>
  </r>
  <r>
    <x v="0"/>
    <x v="70"/>
    <x v="70"/>
    <x v="8"/>
    <x v="8"/>
    <x v="8"/>
    <x v="15"/>
    <x v="201"/>
    <x v="129"/>
    <x v="42"/>
    <x v="25"/>
    <x v="41"/>
    <x v="320"/>
    <x v="1"/>
  </r>
  <r>
    <x v="0"/>
    <x v="70"/>
    <x v="70"/>
    <x v="61"/>
    <x v="61"/>
    <x v="61"/>
    <x v="15"/>
    <x v="201"/>
    <x v="129"/>
    <x v="51"/>
    <x v="49"/>
    <x v="52"/>
    <x v="267"/>
    <x v="1"/>
  </r>
  <r>
    <x v="0"/>
    <x v="70"/>
    <x v="70"/>
    <x v="48"/>
    <x v="48"/>
    <x v="48"/>
    <x v="17"/>
    <x v="202"/>
    <x v="158"/>
    <x v="62"/>
    <x v="284"/>
    <x v="101"/>
    <x v="170"/>
    <x v="1"/>
  </r>
  <r>
    <x v="0"/>
    <x v="70"/>
    <x v="70"/>
    <x v="28"/>
    <x v="28"/>
    <x v="28"/>
    <x v="18"/>
    <x v="203"/>
    <x v="35"/>
    <x v="58"/>
    <x v="293"/>
    <x v="51"/>
    <x v="65"/>
    <x v="1"/>
  </r>
  <r>
    <x v="0"/>
    <x v="70"/>
    <x v="70"/>
    <x v="29"/>
    <x v="29"/>
    <x v="29"/>
    <x v="18"/>
    <x v="203"/>
    <x v="35"/>
    <x v="50"/>
    <x v="584"/>
    <x v="141"/>
    <x v="345"/>
    <x v="1"/>
  </r>
  <r>
    <x v="0"/>
    <x v="70"/>
    <x v="70"/>
    <x v="18"/>
    <x v="18"/>
    <x v="18"/>
    <x v="18"/>
    <x v="203"/>
    <x v="35"/>
    <x v="45"/>
    <x v="227"/>
    <x v="89"/>
    <x v="37"/>
    <x v="1"/>
  </r>
  <r>
    <x v="0"/>
    <x v="71"/>
    <x v="71"/>
    <x v="1"/>
    <x v="1"/>
    <x v="1"/>
    <x v="0"/>
    <x v="171"/>
    <x v="350"/>
    <x v="160"/>
    <x v="585"/>
    <x v="87"/>
    <x v="407"/>
    <x v="1"/>
  </r>
  <r>
    <x v="0"/>
    <x v="71"/>
    <x v="71"/>
    <x v="0"/>
    <x v="0"/>
    <x v="0"/>
    <x v="1"/>
    <x v="65"/>
    <x v="351"/>
    <x v="60"/>
    <x v="586"/>
    <x v="51"/>
    <x v="193"/>
    <x v="1"/>
  </r>
  <r>
    <x v="0"/>
    <x v="71"/>
    <x v="71"/>
    <x v="2"/>
    <x v="2"/>
    <x v="2"/>
    <x v="2"/>
    <x v="49"/>
    <x v="264"/>
    <x v="30"/>
    <x v="20"/>
    <x v="101"/>
    <x v="408"/>
    <x v="1"/>
  </r>
  <r>
    <x v="0"/>
    <x v="71"/>
    <x v="71"/>
    <x v="4"/>
    <x v="4"/>
    <x v="4"/>
    <x v="3"/>
    <x v="92"/>
    <x v="214"/>
    <x v="120"/>
    <x v="587"/>
    <x v="101"/>
    <x v="408"/>
    <x v="1"/>
  </r>
  <r>
    <x v="0"/>
    <x v="71"/>
    <x v="71"/>
    <x v="6"/>
    <x v="6"/>
    <x v="6"/>
    <x v="4"/>
    <x v="50"/>
    <x v="271"/>
    <x v="39"/>
    <x v="416"/>
    <x v="89"/>
    <x v="294"/>
    <x v="1"/>
  </r>
  <r>
    <x v="0"/>
    <x v="71"/>
    <x v="71"/>
    <x v="5"/>
    <x v="5"/>
    <x v="5"/>
    <x v="5"/>
    <x v="54"/>
    <x v="155"/>
    <x v="26"/>
    <x v="588"/>
    <x v="141"/>
    <x v="345"/>
    <x v="1"/>
  </r>
  <r>
    <x v="0"/>
    <x v="71"/>
    <x v="71"/>
    <x v="3"/>
    <x v="3"/>
    <x v="3"/>
    <x v="5"/>
    <x v="54"/>
    <x v="155"/>
    <x v="49"/>
    <x v="589"/>
    <x v="44"/>
    <x v="54"/>
    <x v="1"/>
  </r>
  <r>
    <x v="0"/>
    <x v="71"/>
    <x v="71"/>
    <x v="9"/>
    <x v="9"/>
    <x v="9"/>
    <x v="7"/>
    <x v="193"/>
    <x v="133"/>
    <x v="42"/>
    <x v="25"/>
    <x v="52"/>
    <x v="409"/>
    <x v="1"/>
  </r>
  <r>
    <x v="0"/>
    <x v="71"/>
    <x v="71"/>
    <x v="8"/>
    <x v="8"/>
    <x v="8"/>
    <x v="7"/>
    <x v="193"/>
    <x v="133"/>
    <x v="41"/>
    <x v="59"/>
    <x v="78"/>
    <x v="410"/>
    <x v="1"/>
  </r>
  <r>
    <x v="0"/>
    <x v="71"/>
    <x v="71"/>
    <x v="12"/>
    <x v="12"/>
    <x v="12"/>
    <x v="9"/>
    <x v="198"/>
    <x v="352"/>
    <x v="50"/>
    <x v="544"/>
    <x v="51"/>
    <x v="193"/>
    <x v="1"/>
  </r>
  <r>
    <x v="0"/>
    <x v="71"/>
    <x v="71"/>
    <x v="52"/>
    <x v="52"/>
    <x v="52"/>
    <x v="9"/>
    <x v="198"/>
    <x v="352"/>
    <x v="91"/>
    <x v="446"/>
    <x v="44"/>
    <x v="54"/>
    <x v="1"/>
  </r>
  <r>
    <x v="0"/>
    <x v="71"/>
    <x v="71"/>
    <x v="10"/>
    <x v="10"/>
    <x v="10"/>
    <x v="11"/>
    <x v="201"/>
    <x v="28"/>
    <x v="44"/>
    <x v="43"/>
    <x v="51"/>
    <x v="193"/>
    <x v="1"/>
  </r>
  <r>
    <x v="0"/>
    <x v="71"/>
    <x v="71"/>
    <x v="18"/>
    <x v="18"/>
    <x v="18"/>
    <x v="11"/>
    <x v="201"/>
    <x v="28"/>
    <x v="50"/>
    <x v="544"/>
    <x v="101"/>
    <x v="408"/>
    <x v="1"/>
  </r>
  <r>
    <x v="0"/>
    <x v="71"/>
    <x v="71"/>
    <x v="11"/>
    <x v="11"/>
    <x v="11"/>
    <x v="13"/>
    <x v="202"/>
    <x v="60"/>
    <x v="44"/>
    <x v="43"/>
    <x v="89"/>
    <x v="294"/>
    <x v="1"/>
  </r>
  <r>
    <x v="0"/>
    <x v="71"/>
    <x v="71"/>
    <x v="30"/>
    <x v="30"/>
    <x v="30"/>
    <x v="14"/>
    <x v="203"/>
    <x v="94"/>
    <x v="58"/>
    <x v="431"/>
    <x v="51"/>
    <x v="193"/>
    <x v="1"/>
  </r>
  <r>
    <x v="0"/>
    <x v="71"/>
    <x v="71"/>
    <x v="15"/>
    <x v="15"/>
    <x v="15"/>
    <x v="14"/>
    <x v="203"/>
    <x v="94"/>
    <x v="44"/>
    <x v="43"/>
    <x v="101"/>
    <x v="408"/>
    <x v="1"/>
  </r>
  <r>
    <x v="0"/>
    <x v="71"/>
    <x v="71"/>
    <x v="47"/>
    <x v="47"/>
    <x v="47"/>
    <x v="14"/>
    <x v="203"/>
    <x v="94"/>
    <x v="50"/>
    <x v="544"/>
    <x v="141"/>
    <x v="345"/>
    <x v="1"/>
  </r>
  <r>
    <x v="0"/>
    <x v="71"/>
    <x v="71"/>
    <x v="17"/>
    <x v="17"/>
    <x v="17"/>
    <x v="17"/>
    <x v="208"/>
    <x v="36"/>
    <x v="41"/>
    <x v="59"/>
    <x v="90"/>
    <x v="411"/>
    <x v="1"/>
  </r>
  <r>
    <x v="0"/>
    <x v="71"/>
    <x v="71"/>
    <x v="28"/>
    <x v="28"/>
    <x v="28"/>
    <x v="17"/>
    <x v="208"/>
    <x v="36"/>
    <x v="58"/>
    <x v="431"/>
    <x v="89"/>
    <x v="294"/>
    <x v="1"/>
  </r>
  <r>
    <x v="0"/>
    <x v="71"/>
    <x v="71"/>
    <x v="14"/>
    <x v="14"/>
    <x v="14"/>
    <x v="17"/>
    <x v="208"/>
    <x v="36"/>
    <x v="44"/>
    <x v="43"/>
    <x v="44"/>
    <x v="54"/>
    <x v="1"/>
  </r>
  <r>
    <x v="0"/>
    <x v="72"/>
    <x v="72"/>
    <x v="0"/>
    <x v="0"/>
    <x v="0"/>
    <x v="0"/>
    <x v="87"/>
    <x v="131"/>
    <x v="95"/>
    <x v="590"/>
    <x v="101"/>
    <x v="363"/>
    <x v="1"/>
  </r>
  <r>
    <x v="0"/>
    <x v="72"/>
    <x v="72"/>
    <x v="2"/>
    <x v="2"/>
    <x v="2"/>
    <x v="1"/>
    <x v="45"/>
    <x v="335"/>
    <x v="79"/>
    <x v="591"/>
    <x v="141"/>
    <x v="345"/>
    <x v="1"/>
  </r>
  <r>
    <x v="0"/>
    <x v="72"/>
    <x v="72"/>
    <x v="12"/>
    <x v="12"/>
    <x v="12"/>
    <x v="2"/>
    <x v="49"/>
    <x v="252"/>
    <x v="66"/>
    <x v="257"/>
    <x v="41"/>
    <x v="288"/>
    <x v="1"/>
  </r>
  <r>
    <x v="0"/>
    <x v="72"/>
    <x v="72"/>
    <x v="11"/>
    <x v="11"/>
    <x v="11"/>
    <x v="2"/>
    <x v="49"/>
    <x v="252"/>
    <x v="71"/>
    <x v="237"/>
    <x v="66"/>
    <x v="231"/>
    <x v="1"/>
  </r>
  <r>
    <x v="0"/>
    <x v="72"/>
    <x v="72"/>
    <x v="9"/>
    <x v="9"/>
    <x v="9"/>
    <x v="4"/>
    <x v="92"/>
    <x v="353"/>
    <x v="58"/>
    <x v="592"/>
    <x v="87"/>
    <x v="412"/>
    <x v="1"/>
  </r>
  <r>
    <x v="0"/>
    <x v="72"/>
    <x v="72"/>
    <x v="1"/>
    <x v="1"/>
    <x v="1"/>
    <x v="4"/>
    <x v="92"/>
    <x v="353"/>
    <x v="57"/>
    <x v="593"/>
    <x v="66"/>
    <x v="231"/>
    <x v="1"/>
  </r>
  <r>
    <x v="0"/>
    <x v="72"/>
    <x v="72"/>
    <x v="15"/>
    <x v="15"/>
    <x v="15"/>
    <x v="6"/>
    <x v="50"/>
    <x v="163"/>
    <x v="26"/>
    <x v="594"/>
    <x v="51"/>
    <x v="280"/>
    <x v="1"/>
  </r>
  <r>
    <x v="0"/>
    <x v="72"/>
    <x v="72"/>
    <x v="5"/>
    <x v="5"/>
    <x v="5"/>
    <x v="7"/>
    <x v="51"/>
    <x v="216"/>
    <x v="49"/>
    <x v="595"/>
    <x v="51"/>
    <x v="280"/>
    <x v="1"/>
  </r>
  <r>
    <x v="0"/>
    <x v="72"/>
    <x v="72"/>
    <x v="8"/>
    <x v="8"/>
    <x v="8"/>
    <x v="8"/>
    <x v="52"/>
    <x v="43"/>
    <x v="58"/>
    <x v="592"/>
    <x v="77"/>
    <x v="248"/>
    <x v="1"/>
  </r>
  <r>
    <x v="0"/>
    <x v="72"/>
    <x v="72"/>
    <x v="6"/>
    <x v="6"/>
    <x v="6"/>
    <x v="9"/>
    <x v="54"/>
    <x v="139"/>
    <x v="80"/>
    <x v="236"/>
    <x v="89"/>
    <x v="251"/>
    <x v="1"/>
  </r>
  <r>
    <x v="0"/>
    <x v="72"/>
    <x v="72"/>
    <x v="3"/>
    <x v="3"/>
    <x v="3"/>
    <x v="9"/>
    <x v="54"/>
    <x v="139"/>
    <x v="26"/>
    <x v="594"/>
    <x v="141"/>
    <x v="345"/>
    <x v="1"/>
  </r>
  <r>
    <x v="0"/>
    <x v="72"/>
    <x v="72"/>
    <x v="17"/>
    <x v="17"/>
    <x v="17"/>
    <x v="11"/>
    <x v="55"/>
    <x v="126"/>
    <x v="51"/>
    <x v="49"/>
    <x v="50"/>
    <x v="413"/>
    <x v="1"/>
  </r>
  <r>
    <x v="0"/>
    <x v="72"/>
    <x v="72"/>
    <x v="16"/>
    <x v="16"/>
    <x v="16"/>
    <x v="11"/>
    <x v="55"/>
    <x v="126"/>
    <x v="58"/>
    <x v="592"/>
    <x v="52"/>
    <x v="243"/>
    <x v="1"/>
  </r>
  <r>
    <x v="0"/>
    <x v="72"/>
    <x v="72"/>
    <x v="24"/>
    <x v="24"/>
    <x v="24"/>
    <x v="13"/>
    <x v="96"/>
    <x v="8"/>
    <x v="57"/>
    <x v="593"/>
    <x v="86"/>
    <x v="118"/>
    <x v="1"/>
  </r>
  <r>
    <x v="0"/>
    <x v="72"/>
    <x v="72"/>
    <x v="4"/>
    <x v="4"/>
    <x v="4"/>
    <x v="13"/>
    <x v="96"/>
    <x v="8"/>
    <x v="91"/>
    <x v="314"/>
    <x v="89"/>
    <x v="251"/>
    <x v="1"/>
  </r>
  <r>
    <x v="0"/>
    <x v="72"/>
    <x v="72"/>
    <x v="10"/>
    <x v="10"/>
    <x v="10"/>
    <x v="15"/>
    <x v="198"/>
    <x v="31"/>
    <x v="50"/>
    <x v="359"/>
    <x v="51"/>
    <x v="280"/>
    <x v="1"/>
  </r>
  <r>
    <x v="0"/>
    <x v="72"/>
    <x v="72"/>
    <x v="19"/>
    <x v="19"/>
    <x v="19"/>
    <x v="15"/>
    <x v="198"/>
    <x v="31"/>
    <x v="42"/>
    <x v="372"/>
    <x v="57"/>
    <x v="269"/>
    <x v="1"/>
  </r>
  <r>
    <x v="0"/>
    <x v="72"/>
    <x v="72"/>
    <x v="20"/>
    <x v="20"/>
    <x v="20"/>
    <x v="15"/>
    <x v="198"/>
    <x v="31"/>
    <x v="42"/>
    <x v="372"/>
    <x v="72"/>
    <x v="334"/>
    <x v="1"/>
  </r>
  <r>
    <x v="0"/>
    <x v="72"/>
    <x v="72"/>
    <x v="14"/>
    <x v="14"/>
    <x v="14"/>
    <x v="15"/>
    <x v="198"/>
    <x v="31"/>
    <x v="57"/>
    <x v="593"/>
    <x v="89"/>
    <x v="251"/>
    <x v="1"/>
  </r>
  <r>
    <x v="0"/>
    <x v="72"/>
    <x v="72"/>
    <x v="46"/>
    <x v="46"/>
    <x v="46"/>
    <x v="19"/>
    <x v="200"/>
    <x v="158"/>
    <x v="45"/>
    <x v="226"/>
    <x v="47"/>
    <x v="36"/>
    <x v="1"/>
  </r>
  <r>
    <x v="0"/>
    <x v="72"/>
    <x v="72"/>
    <x v="65"/>
    <x v="65"/>
    <x v="65"/>
    <x v="19"/>
    <x v="200"/>
    <x v="158"/>
    <x v="41"/>
    <x v="172"/>
    <x v="52"/>
    <x v="243"/>
    <x v="1"/>
  </r>
  <r>
    <x v="0"/>
    <x v="73"/>
    <x v="73"/>
    <x v="1"/>
    <x v="1"/>
    <x v="1"/>
    <x v="0"/>
    <x v="41"/>
    <x v="354"/>
    <x v="96"/>
    <x v="596"/>
    <x v="47"/>
    <x v="33"/>
    <x v="1"/>
  </r>
  <r>
    <x v="0"/>
    <x v="73"/>
    <x v="73"/>
    <x v="8"/>
    <x v="8"/>
    <x v="8"/>
    <x v="1"/>
    <x v="92"/>
    <x v="355"/>
    <x v="58"/>
    <x v="583"/>
    <x v="87"/>
    <x v="414"/>
    <x v="1"/>
  </r>
  <r>
    <x v="0"/>
    <x v="73"/>
    <x v="73"/>
    <x v="0"/>
    <x v="0"/>
    <x v="0"/>
    <x v="2"/>
    <x v="50"/>
    <x v="332"/>
    <x v="120"/>
    <x v="179"/>
    <x v="44"/>
    <x v="415"/>
    <x v="1"/>
  </r>
  <r>
    <x v="0"/>
    <x v="73"/>
    <x v="73"/>
    <x v="14"/>
    <x v="14"/>
    <x v="14"/>
    <x v="3"/>
    <x v="53"/>
    <x v="19"/>
    <x v="66"/>
    <x v="464"/>
    <x v="89"/>
    <x v="266"/>
    <x v="1"/>
  </r>
  <r>
    <x v="0"/>
    <x v="73"/>
    <x v="73"/>
    <x v="24"/>
    <x v="24"/>
    <x v="24"/>
    <x v="4"/>
    <x v="54"/>
    <x v="184"/>
    <x v="57"/>
    <x v="257"/>
    <x v="90"/>
    <x v="357"/>
    <x v="1"/>
  </r>
  <r>
    <x v="0"/>
    <x v="73"/>
    <x v="73"/>
    <x v="11"/>
    <x v="11"/>
    <x v="11"/>
    <x v="5"/>
    <x v="55"/>
    <x v="155"/>
    <x v="48"/>
    <x v="226"/>
    <x v="66"/>
    <x v="416"/>
    <x v="1"/>
  </r>
  <r>
    <x v="0"/>
    <x v="73"/>
    <x v="73"/>
    <x v="16"/>
    <x v="16"/>
    <x v="16"/>
    <x v="6"/>
    <x v="193"/>
    <x v="194"/>
    <x v="44"/>
    <x v="283"/>
    <x v="90"/>
    <x v="357"/>
    <x v="1"/>
  </r>
  <r>
    <x v="0"/>
    <x v="73"/>
    <x v="73"/>
    <x v="9"/>
    <x v="9"/>
    <x v="9"/>
    <x v="6"/>
    <x v="193"/>
    <x v="194"/>
    <x v="48"/>
    <x v="226"/>
    <x v="57"/>
    <x v="417"/>
    <x v="1"/>
  </r>
  <r>
    <x v="0"/>
    <x v="73"/>
    <x v="73"/>
    <x v="2"/>
    <x v="2"/>
    <x v="2"/>
    <x v="8"/>
    <x v="198"/>
    <x v="116"/>
    <x v="71"/>
    <x v="597"/>
    <x v="101"/>
    <x v="133"/>
    <x v="1"/>
  </r>
  <r>
    <x v="0"/>
    <x v="73"/>
    <x v="73"/>
    <x v="56"/>
    <x v="56"/>
    <x v="56"/>
    <x v="9"/>
    <x v="200"/>
    <x v="139"/>
    <x v="45"/>
    <x v="359"/>
    <x v="47"/>
    <x v="33"/>
    <x v="1"/>
  </r>
  <r>
    <x v="0"/>
    <x v="73"/>
    <x v="73"/>
    <x v="43"/>
    <x v="43"/>
    <x v="43"/>
    <x v="9"/>
    <x v="200"/>
    <x v="139"/>
    <x v="46"/>
    <x v="372"/>
    <x v="57"/>
    <x v="417"/>
    <x v="1"/>
  </r>
  <r>
    <x v="0"/>
    <x v="73"/>
    <x v="73"/>
    <x v="7"/>
    <x v="7"/>
    <x v="7"/>
    <x v="9"/>
    <x v="200"/>
    <x v="139"/>
    <x v="44"/>
    <x v="283"/>
    <x v="86"/>
    <x v="12"/>
    <x v="1"/>
  </r>
  <r>
    <x v="0"/>
    <x v="73"/>
    <x v="73"/>
    <x v="4"/>
    <x v="4"/>
    <x v="4"/>
    <x v="12"/>
    <x v="201"/>
    <x v="190"/>
    <x v="44"/>
    <x v="283"/>
    <x v="51"/>
    <x v="60"/>
    <x v="1"/>
  </r>
  <r>
    <x v="0"/>
    <x v="73"/>
    <x v="73"/>
    <x v="17"/>
    <x v="17"/>
    <x v="17"/>
    <x v="13"/>
    <x v="202"/>
    <x v="9"/>
    <x v="41"/>
    <x v="35"/>
    <x v="72"/>
    <x v="418"/>
    <x v="1"/>
  </r>
  <r>
    <x v="0"/>
    <x v="73"/>
    <x v="73"/>
    <x v="12"/>
    <x v="12"/>
    <x v="12"/>
    <x v="13"/>
    <x v="202"/>
    <x v="9"/>
    <x v="48"/>
    <x v="226"/>
    <x v="47"/>
    <x v="33"/>
    <x v="1"/>
  </r>
  <r>
    <x v="0"/>
    <x v="73"/>
    <x v="73"/>
    <x v="33"/>
    <x v="33"/>
    <x v="33"/>
    <x v="13"/>
    <x v="202"/>
    <x v="9"/>
    <x v="57"/>
    <x v="257"/>
    <x v="141"/>
    <x v="345"/>
    <x v="1"/>
  </r>
  <r>
    <x v="0"/>
    <x v="73"/>
    <x v="73"/>
    <x v="5"/>
    <x v="5"/>
    <x v="5"/>
    <x v="13"/>
    <x v="202"/>
    <x v="9"/>
    <x v="57"/>
    <x v="257"/>
    <x v="141"/>
    <x v="345"/>
    <x v="1"/>
  </r>
  <r>
    <x v="0"/>
    <x v="73"/>
    <x v="73"/>
    <x v="74"/>
    <x v="74"/>
    <x v="74"/>
    <x v="17"/>
    <x v="203"/>
    <x v="12"/>
    <x v="45"/>
    <x v="359"/>
    <x v="89"/>
    <x v="266"/>
    <x v="1"/>
  </r>
  <r>
    <x v="0"/>
    <x v="73"/>
    <x v="73"/>
    <x v="59"/>
    <x v="59"/>
    <x v="59"/>
    <x v="18"/>
    <x v="208"/>
    <x v="171"/>
    <x v="46"/>
    <x v="372"/>
    <x v="47"/>
    <x v="33"/>
    <x v="1"/>
  </r>
  <r>
    <x v="0"/>
    <x v="73"/>
    <x v="73"/>
    <x v="25"/>
    <x v="25"/>
    <x v="25"/>
    <x v="18"/>
    <x v="208"/>
    <x v="171"/>
    <x v="41"/>
    <x v="35"/>
    <x v="90"/>
    <x v="357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19AB66-AB9A-436A-A76A-980630586245}" name="pvt_L" cacheId="2158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1185" firstHeaderRow="0" firstDataRow="1" firstDataCol="1"/>
  <pivotFields count="11">
    <pivotField showAll="0"/>
    <pivotField showAll="0"/>
    <pivotField axis="axisRow" showAll="0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118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1085">
      <pivotArea field="2" type="button" dataOnly="0" labelOnly="1" outline="0" axis="axisRow" fieldPosition="0"/>
    </format>
    <format dxfId="1084">
      <pivotArea outline="0" fieldPosition="0">
        <references count="1">
          <reference field="4294967294" count="1">
            <x v="0"/>
          </reference>
        </references>
      </pivotArea>
    </format>
    <format dxfId="1083">
      <pivotArea outline="0" fieldPosition="0">
        <references count="1">
          <reference field="4294967294" count="1">
            <x v="1"/>
          </reference>
        </references>
      </pivotArea>
    </format>
    <format dxfId="1082">
      <pivotArea outline="0" fieldPosition="0">
        <references count="1">
          <reference field="4294967294" count="1">
            <x v="2"/>
          </reference>
        </references>
      </pivotArea>
    </format>
    <format dxfId="1081">
      <pivotArea outline="0" fieldPosition="0">
        <references count="1">
          <reference field="4294967294" count="1">
            <x v="3"/>
          </reference>
        </references>
      </pivotArea>
    </format>
    <format dxfId="1080">
      <pivotArea outline="0" fieldPosition="0">
        <references count="1">
          <reference field="4294967294" count="1">
            <x v="4"/>
          </reference>
        </references>
      </pivotArea>
    </format>
    <format dxfId="1079">
      <pivotArea outline="0" fieldPosition="0">
        <references count="1">
          <reference field="4294967294" count="1">
            <x v="5"/>
          </reference>
        </references>
      </pivotArea>
    </format>
    <format dxfId="1078">
      <pivotArea outline="0" fieldPosition="0">
        <references count="1">
          <reference field="4294967294" count="1">
            <x v="6"/>
          </reference>
        </references>
      </pivotArea>
    </format>
    <format dxfId="1077">
      <pivotArea field="2" type="button" dataOnly="0" labelOnly="1" outline="0" axis="axisRow" fieldPosition="0"/>
    </format>
    <format dxfId="107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75">
      <pivotArea field="2" type="button" dataOnly="0" labelOnly="1" outline="0" axis="axisRow" fieldPosition="0"/>
    </format>
    <format dxfId="107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73">
      <pivotArea field="2" type="button" dataOnly="0" labelOnly="1" outline="0" axis="axisRow" fieldPosition="0"/>
    </format>
    <format dxfId="107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7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7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A88C1E-3853-4D9C-AC74-29702A3980DB}" name="pvt_M" cacheId="2159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708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74">
        <item x="1"/>
        <item x="8"/>
        <item x="11"/>
        <item x="5"/>
        <item x="7"/>
        <item x="2"/>
        <item x="4"/>
        <item x="6"/>
        <item x="9"/>
        <item x="3"/>
        <item x="10"/>
        <item x="49"/>
        <item x="24"/>
        <item x="29"/>
        <item x="37"/>
        <item x="19"/>
        <item x="48"/>
        <item x="38"/>
        <item x="23"/>
        <item x="13"/>
        <item x="31"/>
        <item x="45"/>
        <item x="15"/>
        <item x="25"/>
        <item x="44"/>
        <item x="0"/>
        <item x="42"/>
        <item x="34"/>
        <item x="69"/>
        <item x="68"/>
        <item x="67"/>
        <item x="22"/>
        <item x="17"/>
        <item x="27"/>
        <item x="36"/>
        <item x="26"/>
        <item x="12"/>
        <item x="14"/>
        <item x="28"/>
        <item x="70"/>
        <item x="62"/>
        <item x="63"/>
        <item x="65"/>
        <item x="64"/>
        <item x="66"/>
        <item x="16"/>
        <item x="33"/>
        <item x="46"/>
        <item x="21"/>
        <item x="71"/>
        <item x="47"/>
        <item x="54"/>
        <item x="52"/>
        <item x="53"/>
        <item x="32"/>
        <item x="50"/>
        <item x="40"/>
        <item x="18"/>
        <item x="61"/>
        <item x="55"/>
        <item x="59"/>
        <item x="57"/>
        <item x="58"/>
        <item x="60"/>
        <item x="56"/>
        <item x="41"/>
        <item x="73"/>
        <item x="72"/>
        <item x="51"/>
        <item x="39"/>
        <item x="20"/>
        <item x="43"/>
        <item x="35"/>
        <item x="30"/>
      </items>
    </pivotField>
    <pivotField axis="axisRow" showAll="0" insertBlankRow="1" defaultSubtotal="0">
      <items count="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</items>
    </pivotField>
    <pivotField showAll="0" defaultSubtotal="0">
      <items count="58">
        <item x="4"/>
        <item x="3"/>
        <item x="6"/>
        <item x="43"/>
        <item x="30"/>
        <item x="33"/>
        <item x="32"/>
        <item x="41"/>
        <item x="34"/>
        <item x="31"/>
        <item x="36"/>
        <item x="35"/>
        <item x="46"/>
        <item x="51"/>
        <item x="57"/>
        <item x="12"/>
        <item x="29"/>
        <item x="23"/>
        <item x="39"/>
        <item x="50"/>
        <item x="40"/>
        <item x="52"/>
        <item x="38"/>
        <item x="28"/>
        <item x="47"/>
        <item x="53"/>
        <item x="26"/>
        <item x="54"/>
        <item x="48"/>
        <item x="45"/>
        <item x="55"/>
        <item x="24"/>
        <item x="18"/>
        <item x="19"/>
        <item x="21"/>
        <item x="14"/>
        <item x="8"/>
        <item x="11"/>
        <item x="5"/>
        <item x="25"/>
        <item x="15"/>
        <item x="2"/>
        <item x="42"/>
        <item x="10"/>
        <item x="13"/>
        <item x="44"/>
        <item x="1"/>
        <item x="37"/>
        <item x="0"/>
        <item x="16"/>
        <item x="27"/>
        <item x="7"/>
        <item x="9"/>
        <item x="20"/>
        <item x="17"/>
        <item x="49"/>
        <item x="22"/>
        <item x="56"/>
      </items>
    </pivotField>
    <pivotField showAll="0" defaultSubtotal="0">
      <items count="58">
        <item x="36"/>
        <item x="56"/>
        <item x="21"/>
        <item x="7"/>
        <item x="22"/>
        <item x="5"/>
        <item x="16"/>
        <item x="28"/>
        <item x="35"/>
        <item x="41"/>
        <item x="29"/>
        <item x="31"/>
        <item x="9"/>
        <item x="34"/>
        <item x="1"/>
        <item x="24"/>
        <item x="8"/>
        <item x="55"/>
        <item x="54"/>
        <item x="32"/>
        <item x="19"/>
        <item x="11"/>
        <item x="49"/>
        <item x="13"/>
        <item x="39"/>
        <item x="12"/>
        <item x="18"/>
        <item x="27"/>
        <item x="37"/>
        <item x="17"/>
        <item x="20"/>
        <item x="44"/>
        <item x="26"/>
        <item x="52"/>
        <item x="14"/>
        <item x="3"/>
        <item x="43"/>
        <item x="53"/>
        <item x="23"/>
        <item x="6"/>
        <item x="10"/>
        <item x="0"/>
        <item x="30"/>
        <item x="4"/>
        <item x="51"/>
        <item x="40"/>
        <item x="47"/>
        <item x="50"/>
        <item x="45"/>
        <item x="48"/>
        <item x="57"/>
        <item x="15"/>
        <item x="2"/>
        <item x="42"/>
        <item x="25"/>
        <item x="33"/>
        <item x="38"/>
        <item x="46"/>
      </items>
    </pivotField>
    <pivotField axis="axisRow" showAll="0" defaultSubtotal="0">
      <items count="58">
        <item x="4"/>
        <item x="3"/>
        <item x="6"/>
        <item x="43"/>
        <item x="30"/>
        <item x="33"/>
        <item x="32"/>
        <item x="41"/>
        <item x="34"/>
        <item x="31"/>
        <item x="36"/>
        <item x="35"/>
        <item x="46"/>
        <item x="51"/>
        <item x="57"/>
        <item x="12"/>
        <item x="29"/>
        <item x="23"/>
        <item x="39"/>
        <item x="50"/>
        <item x="40"/>
        <item x="52"/>
        <item x="38"/>
        <item x="28"/>
        <item x="47"/>
        <item x="53"/>
        <item x="26"/>
        <item x="54"/>
        <item x="48"/>
        <item x="45"/>
        <item x="55"/>
        <item x="24"/>
        <item x="18"/>
        <item x="19"/>
        <item x="21"/>
        <item x="14"/>
        <item x="8"/>
        <item x="11"/>
        <item x="5"/>
        <item x="25"/>
        <item x="15"/>
        <item x="2"/>
        <item x="42"/>
        <item x="10"/>
        <item x="13"/>
        <item x="44"/>
        <item x="1"/>
        <item x="37"/>
        <item x="0"/>
        <item x="16"/>
        <item x="27"/>
        <item x="7"/>
        <item x="9"/>
        <item x="20"/>
        <item x="17"/>
        <item x="49"/>
        <item x="22"/>
        <item x="56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317">
        <item x="316"/>
        <item x="315"/>
        <item x="313"/>
        <item x="312"/>
        <item x="311"/>
        <item x="310"/>
        <item x="309"/>
        <item x="314"/>
        <item x="308"/>
        <item x="307"/>
        <item x="306"/>
        <item x="299"/>
        <item x="288"/>
        <item x="287"/>
        <item x="292"/>
        <item x="56"/>
        <item x="286"/>
        <item x="285"/>
        <item x="55"/>
        <item x="54"/>
        <item x="120"/>
        <item x="53"/>
        <item x="113"/>
        <item x="112"/>
        <item x="119"/>
        <item x="111"/>
        <item x="52"/>
        <item x="51"/>
        <item x="50"/>
        <item x="146"/>
        <item x="49"/>
        <item x="145"/>
        <item x="73"/>
        <item x="103"/>
        <item x="72"/>
        <item x="221"/>
        <item x="71"/>
        <item x="102"/>
        <item x="118"/>
        <item x="70"/>
        <item x="48"/>
        <item x="101"/>
        <item x="241"/>
        <item x="47"/>
        <item x="90"/>
        <item x="89"/>
        <item x="69"/>
        <item x="46"/>
        <item x="100"/>
        <item x="88"/>
        <item x="239"/>
        <item x="45"/>
        <item x="68"/>
        <item x="254"/>
        <item x="153"/>
        <item x="110"/>
        <item x="223"/>
        <item x="99"/>
        <item x="138"/>
        <item x="67"/>
        <item x="284"/>
        <item x="109"/>
        <item x="264"/>
        <item x="201"/>
        <item x="204"/>
        <item x="66"/>
        <item x="65"/>
        <item x="203"/>
        <item x="108"/>
        <item x="180"/>
        <item x="240"/>
        <item x="87"/>
        <item x="144"/>
        <item x="86"/>
        <item x="107"/>
        <item x="143"/>
        <item x="179"/>
        <item x="44"/>
        <item x="168"/>
        <item x="142"/>
        <item x="247"/>
        <item x="218"/>
        <item x="43"/>
        <item x="64"/>
        <item x="63"/>
        <item x="42"/>
        <item x="200"/>
        <item x="85"/>
        <item x="167"/>
        <item x="98"/>
        <item x="117"/>
        <item x="263"/>
        <item x="84"/>
        <item x="178"/>
        <item x="41"/>
        <item x="217"/>
        <item x="216"/>
        <item x="283"/>
        <item x="302"/>
        <item x="62"/>
        <item x="141"/>
        <item x="130"/>
        <item x="137"/>
        <item x="166"/>
        <item x="83"/>
        <item x="129"/>
        <item x="40"/>
        <item x="136"/>
        <item x="82"/>
        <item x="238"/>
        <item x="116"/>
        <item x="140"/>
        <item x="97"/>
        <item x="303"/>
        <item x="152"/>
        <item x="128"/>
        <item x="96"/>
        <item x="106"/>
        <item x="61"/>
        <item x="81"/>
        <item x="237"/>
        <item x="115"/>
        <item x="225"/>
        <item x="213"/>
        <item x="232"/>
        <item x="135"/>
        <item x="60"/>
        <item x="294"/>
        <item x="80"/>
        <item x="95"/>
        <item x="151"/>
        <item x="165"/>
        <item x="243"/>
        <item x="79"/>
        <item x="134"/>
        <item x="301"/>
        <item x="139"/>
        <item x="262"/>
        <item x="220"/>
        <item x="164"/>
        <item x="150"/>
        <item x="94"/>
        <item x="78"/>
        <item x="149"/>
        <item x="105"/>
        <item x="261"/>
        <item x="231"/>
        <item x="236"/>
        <item x="253"/>
        <item x="177"/>
        <item x="300"/>
        <item x="215"/>
        <item x="242"/>
        <item x="93"/>
        <item x="127"/>
        <item x="276"/>
        <item x="163"/>
        <item x="252"/>
        <item x="176"/>
        <item x="104"/>
        <item x="148"/>
        <item x="260"/>
        <item x="282"/>
        <item x="114"/>
        <item x="279"/>
        <item x="293"/>
        <item x="280"/>
        <item x="305"/>
        <item x="133"/>
        <item x="198"/>
        <item x="251"/>
        <item x="275"/>
        <item x="126"/>
        <item x="59"/>
        <item x="92"/>
        <item x="125"/>
        <item x="230"/>
        <item x="274"/>
        <item x="197"/>
        <item x="277"/>
        <item x="273"/>
        <item x="214"/>
        <item x="212"/>
        <item x="77"/>
        <item x="211"/>
        <item x="304"/>
        <item x="196"/>
        <item x="147"/>
        <item x="199"/>
        <item x="296"/>
        <item x="259"/>
        <item x="246"/>
        <item x="175"/>
        <item x="281"/>
        <item x="295"/>
        <item x="195"/>
        <item x="291"/>
        <item x="250"/>
        <item x="235"/>
        <item x="298"/>
        <item x="91"/>
        <item x="210"/>
        <item x="194"/>
        <item x="290"/>
        <item x="58"/>
        <item x="124"/>
        <item x="222"/>
        <item x="224"/>
        <item x="272"/>
        <item x="174"/>
        <item x="162"/>
        <item x="132"/>
        <item x="219"/>
        <item x="229"/>
        <item x="161"/>
        <item x="289"/>
        <item x="76"/>
        <item x="271"/>
        <item x="57"/>
        <item x="234"/>
        <item x="160"/>
        <item x="233"/>
        <item x="173"/>
        <item x="193"/>
        <item x="270"/>
        <item x="245"/>
        <item x="202"/>
        <item x="258"/>
        <item x="159"/>
        <item x="209"/>
        <item x="123"/>
        <item x="39"/>
        <item x="172"/>
        <item x="171"/>
        <item x="158"/>
        <item x="122"/>
        <item x="157"/>
        <item x="228"/>
        <item x="269"/>
        <item x="75"/>
        <item x="268"/>
        <item x="38"/>
        <item x="244"/>
        <item x="208"/>
        <item x="121"/>
        <item x="192"/>
        <item x="267"/>
        <item x="297"/>
        <item x="191"/>
        <item x="131"/>
        <item x="37"/>
        <item x="257"/>
        <item x="74"/>
        <item x="207"/>
        <item x="256"/>
        <item x="249"/>
        <item x="248"/>
        <item x="36"/>
        <item x="190"/>
        <item x="255"/>
        <item x="35"/>
        <item x="206"/>
        <item x="34"/>
        <item x="156"/>
        <item x="33"/>
        <item x="227"/>
        <item x="170"/>
        <item x="189"/>
        <item x="169"/>
        <item x="188"/>
        <item x="32"/>
        <item x="187"/>
        <item x="226"/>
        <item x="205"/>
        <item x="278"/>
        <item x="155"/>
        <item x="154"/>
        <item x="186"/>
        <item x="185"/>
        <item x="266"/>
        <item x="31"/>
        <item x="265"/>
        <item x="30"/>
        <item x="184"/>
        <item x="29"/>
        <item x="183"/>
        <item x="28"/>
        <item x="182"/>
        <item x="27"/>
        <item x="26"/>
        <item x="25"/>
        <item x="24"/>
        <item x="23"/>
        <item x="181"/>
        <item x="22"/>
        <item x="19"/>
        <item x="18"/>
        <item x="21"/>
        <item x="17"/>
        <item x="20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641">
        <item x="493"/>
        <item x="472"/>
        <item x="492"/>
        <item x="552"/>
        <item x="500"/>
        <item x="285"/>
        <item x="471"/>
        <item x="557"/>
        <item x="381"/>
        <item x="506"/>
        <item x="633"/>
        <item x="313"/>
        <item x="267"/>
        <item x="266"/>
        <item x="444"/>
        <item x="511"/>
        <item x="484"/>
        <item x="138"/>
        <item x="531"/>
        <item x="284"/>
        <item x="426"/>
        <item x="100"/>
        <item x="252"/>
        <item x="137"/>
        <item x="312"/>
        <item x="355"/>
        <item x="380"/>
        <item x="136"/>
        <item x="425"/>
        <item x="225"/>
        <item x="344"/>
        <item x="188"/>
        <item x="399"/>
        <item x="265"/>
        <item x="54"/>
        <item x="224"/>
        <item x="19"/>
        <item x="354"/>
        <item x="18"/>
        <item x="125"/>
        <item x="343"/>
        <item x="238"/>
        <item x="17"/>
        <item x="69"/>
        <item x="277"/>
        <item x="112"/>
        <item x="86"/>
        <item x="124"/>
        <item x="200"/>
        <item x="85"/>
        <item x="199"/>
        <item x="364"/>
        <item x="37"/>
        <item x="84"/>
        <item x="150"/>
        <item x="198"/>
        <item x="237"/>
        <item x="212"/>
        <item x="302"/>
        <item x="175"/>
        <item x="53"/>
        <item x="68"/>
        <item x="16"/>
        <item x="83"/>
        <item x="99"/>
        <item x="111"/>
        <item x="197"/>
        <item x="36"/>
        <item x="52"/>
        <item x="437"/>
        <item x="149"/>
        <item x="276"/>
        <item x="363"/>
        <item x="211"/>
        <item x="67"/>
        <item x="123"/>
        <item x="210"/>
        <item x="98"/>
        <item x="148"/>
        <item x="35"/>
        <item x="15"/>
        <item x="174"/>
        <item x="34"/>
        <item x="122"/>
        <item x="408"/>
        <item x="264"/>
        <item x="51"/>
        <item x="14"/>
        <item x="163"/>
        <item x="505"/>
        <item x="173"/>
        <item x="436"/>
        <item x="251"/>
        <item x="33"/>
        <item x="477"/>
        <item x="162"/>
        <item x="236"/>
        <item x="121"/>
        <item x="450"/>
        <item x="353"/>
        <item x="417"/>
        <item x="161"/>
        <item x="13"/>
        <item x="32"/>
        <item x="334"/>
        <item x="66"/>
        <item x="607"/>
        <item x="196"/>
        <item x="615"/>
        <item x="333"/>
        <item x="462"/>
        <item x="172"/>
        <item x="12"/>
        <item x="483"/>
        <item x="301"/>
        <item x="322"/>
        <item x="293"/>
        <item x="398"/>
        <item x="585"/>
        <item x="573"/>
        <item x="235"/>
        <item x="391"/>
        <item x="110"/>
        <item x="187"/>
        <item x="592"/>
        <item x="342"/>
        <item x="195"/>
        <item x="186"/>
        <item x="50"/>
        <item x="171"/>
        <item x="424"/>
        <item x="65"/>
        <item x="250"/>
        <item x="458"/>
        <item x="82"/>
        <item x="49"/>
        <item x="373"/>
        <item x="170"/>
        <item x="160"/>
        <item x="234"/>
        <item x="629"/>
        <item x="31"/>
        <item x="457"/>
        <item x="48"/>
        <item x="491"/>
        <item x="311"/>
        <item x="581"/>
        <item x="223"/>
        <item x="97"/>
        <item x="159"/>
        <item x="490"/>
        <item x="249"/>
        <item x="332"/>
        <item x="435"/>
        <item x="443"/>
        <item x="147"/>
        <item x="530"/>
        <item x="47"/>
        <item x="11"/>
        <item x="263"/>
        <item x="321"/>
        <item x="390"/>
        <item x="434"/>
        <item x="456"/>
        <item x="262"/>
        <item x="515"/>
        <item x="185"/>
        <item x="120"/>
        <item x="158"/>
        <item x="470"/>
        <item x="423"/>
        <item x="261"/>
        <item x="119"/>
        <item x="135"/>
        <item x="310"/>
        <item x="10"/>
        <item x="30"/>
        <item x="309"/>
        <item x="64"/>
        <item x="96"/>
        <item x="81"/>
        <item x="389"/>
        <item x="63"/>
        <item x="612"/>
        <item x="157"/>
        <item x="283"/>
        <item x="632"/>
        <item x="109"/>
        <item x="331"/>
        <item x="469"/>
        <item x="601"/>
        <item x="388"/>
        <item x="372"/>
        <item x="29"/>
        <item x="529"/>
        <item x="300"/>
        <item x="80"/>
        <item x="108"/>
        <item x="637"/>
        <item x="416"/>
        <item x="209"/>
        <item x="352"/>
        <item x="233"/>
        <item x="299"/>
        <item x="542"/>
        <item x="371"/>
        <item x="232"/>
        <item x="169"/>
        <item x="222"/>
        <item x="370"/>
        <item x="499"/>
        <item x="194"/>
        <item x="260"/>
        <item x="528"/>
        <item x="156"/>
        <item x="231"/>
        <item x="537"/>
        <item x="433"/>
        <item x="282"/>
        <item x="95"/>
        <item x="432"/>
        <item x="193"/>
        <item x="565"/>
        <item x="362"/>
        <item x="146"/>
        <item x="415"/>
        <item x="46"/>
        <item x="580"/>
        <item x="221"/>
        <item x="407"/>
        <item x="79"/>
        <item x="292"/>
        <item x="155"/>
        <item x="468"/>
        <item x="320"/>
        <item x="107"/>
        <item x="9"/>
        <item x="8"/>
        <item x="414"/>
        <item x="379"/>
        <item x="78"/>
        <item x="134"/>
        <item x="248"/>
        <item x="597"/>
        <item x="341"/>
        <item x="62"/>
        <item x="94"/>
        <item x="387"/>
        <item x="330"/>
        <item x="45"/>
        <item x="184"/>
        <item x="220"/>
        <item x="397"/>
        <item x="406"/>
        <item x="281"/>
        <item x="361"/>
        <item x="396"/>
        <item x="275"/>
        <item x="329"/>
        <item x="386"/>
        <item x="208"/>
        <item x="247"/>
        <item x="360"/>
        <item x="7"/>
        <item x="219"/>
        <item x="522"/>
        <item x="28"/>
        <item x="106"/>
        <item x="449"/>
        <item x="133"/>
        <item x="77"/>
        <item x="340"/>
        <item x="584"/>
        <item x="27"/>
        <item x="536"/>
        <item x="44"/>
        <item x="145"/>
        <item x="183"/>
        <item x="246"/>
        <item x="6"/>
        <item x="467"/>
        <item x="413"/>
        <item x="455"/>
        <item x="339"/>
        <item x="144"/>
        <item x="351"/>
        <item x="328"/>
        <item x="551"/>
        <item x="369"/>
        <item x="207"/>
        <item x="218"/>
        <item x="143"/>
        <item x="298"/>
        <item x="76"/>
        <item x="206"/>
        <item x="280"/>
        <item x="182"/>
        <item x="291"/>
        <item x="422"/>
        <item x="461"/>
        <item x="43"/>
        <item x="245"/>
        <item x="297"/>
        <item x="26"/>
        <item x="75"/>
        <item x="61"/>
        <item x="504"/>
        <item x="591"/>
        <item x="25"/>
        <item x="510"/>
        <item x="350"/>
        <item x="192"/>
        <item x="550"/>
        <item x="564"/>
        <item x="105"/>
        <item x="259"/>
        <item x="274"/>
        <item x="168"/>
        <item x="24"/>
        <item x="482"/>
        <item x="308"/>
        <item x="412"/>
        <item x="521"/>
        <item x="142"/>
        <item x="217"/>
        <item x="640"/>
        <item x="60"/>
        <item x="74"/>
        <item x="205"/>
        <item x="327"/>
        <item x="541"/>
        <item x="273"/>
        <item x="489"/>
        <item x="204"/>
        <item x="307"/>
        <item x="611"/>
        <item x="349"/>
        <item x="460"/>
        <item x="540"/>
        <item x="141"/>
        <item x="378"/>
        <item x="93"/>
        <item x="503"/>
        <item x="377"/>
        <item x="23"/>
        <item x="385"/>
        <item x="181"/>
        <item x="167"/>
        <item x="191"/>
        <item x="395"/>
        <item x="5"/>
        <item x="405"/>
        <item x="319"/>
        <item x="338"/>
        <item x="92"/>
        <item x="180"/>
        <item x="421"/>
        <item x="546"/>
        <item x="572"/>
        <item x="348"/>
        <item x="520"/>
        <item x="442"/>
        <item x="290"/>
        <item x="514"/>
        <item x="420"/>
        <item x="59"/>
        <item x="140"/>
        <item x="306"/>
        <item x="590"/>
        <item x="244"/>
        <item x="368"/>
        <item x="230"/>
        <item x="636"/>
        <item x="519"/>
        <item x="132"/>
        <item x="579"/>
        <item x="563"/>
        <item x="367"/>
        <item x="118"/>
        <item x="258"/>
        <item x="318"/>
        <item x="257"/>
        <item x="498"/>
        <item x="229"/>
        <item x="216"/>
        <item x="488"/>
        <item x="481"/>
        <item x="454"/>
        <item x="58"/>
        <item x="606"/>
        <item x="562"/>
        <item x="91"/>
        <item x="595"/>
        <item x="4"/>
        <item x="3"/>
        <item x="384"/>
        <item x="117"/>
        <item x="441"/>
        <item x="487"/>
        <item x="317"/>
        <item x="228"/>
        <item x="411"/>
        <item x="431"/>
        <item x="527"/>
        <item x="578"/>
        <item x="179"/>
        <item x="347"/>
        <item x="476"/>
        <item x="203"/>
        <item x="215"/>
        <item x="526"/>
        <item x="513"/>
        <item x="475"/>
        <item x="394"/>
        <item x="131"/>
        <item x="466"/>
        <item x="448"/>
        <item x="535"/>
        <item x="166"/>
        <item x="243"/>
        <item x="614"/>
        <item x="620"/>
        <item x="90"/>
        <item x="525"/>
        <item x="130"/>
        <item x="497"/>
        <item x="272"/>
        <item x="256"/>
        <item x="165"/>
        <item x="556"/>
        <item x="190"/>
        <item x="255"/>
        <item x="271"/>
        <item x="628"/>
        <item x="289"/>
        <item x="73"/>
        <item x="154"/>
        <item x="549"/>
        <item x="116"/>
        <item x="359"/>
        <item x="326"/>
        <item x="534"/>
        <item x="42"/>
        <item x="571"/>
        <item x="288"/>
        <item x="502"/>
        <item x="404"/>
        <item x="619"/>
        <item x="577"/>
        <item x="555"/>
        <item x="325"/>
        <item x="316"/>
        <item x="104"/>
        <item x="242"/>
        <item x="509"/>
        <item x="89"/>
        <item x="610"/>
        <item x="270"/>
        <item x="583"/>
        <item x="474"/>
        <item x="627"/>
        <item x="533"/>
        <item x="383"/>
        <item x="570"/>
        <item x="41"/>
        <item x="337"/>
        <item x="178"/>
        <item x="202"/>
        <item x="635"/>
        <item x="566"/>
        <item x="153"/>
        <item x="624"/>
        <item x="453"/>
        <item x="447"/>
        <item x="40"/>
        <item x="459"/>
        <item x="296"/>
        <item x="480"/>
        <item x="446"/>
        <item x="336"/>
        <item x="479"/>
        <item x="600"/>
        <item x="589"/>
        <item x="241"/>
        <item x="430"/>
        <item x="569"/>
        <item x="129"/>
        <item x="103"/>
        <item x="201"/>
        <item x="22"/>
        <item x="152"/>
        <item x="429"/>
        <item x="539"/>
        <item x="452"/>
        <item x="609"/>
        <item x="324"/>
        <item x="403"/>
        <item x="545"/>
        <item x="115"/>
        <item x="440"/>
        <item x="518"/>
        <item x="269"/>
        <item x="57"/>
        <item x="605"/>
        <item x="428"/>
        <item x="88"/>
        <item x="72"/>
        <item x="508"/>
        <item x="393"/>
        <item x="594"/>
        <item x="576"/>
        <item x="39"/>
        <item x="402"/>
        <item x="305"/>
        <item x="532"/>
        <item x="2"/>
        <item x="358"/>
        <item x="561"/>
        <item x="410"/>
        <item x="1"/>
        <item x="315"/>
        <item x="357"/>
        <item x="599"/>
        <item x="588"/>
        <item x="401"/>
        <item x="114"/>
        <item x="254"/>
        <item x="548"/>
        <item x="177"/>
        <item x="164"/>
        <item x="151"/>
        <item x="356"/>
        <item x="427"/>
        <item x="507"/>
        <item x="240"/>
        <item x="346"/>
        <item x="214"/>
        <item x="21"/>
        <item x="618"/>
        <item x="496"/>
        <item x="604"/>
        <item x="176"/>
        <item x="623"/>
        <item x="495"/>
        <item x="38"/>
        <item x="587"/>
        <item x="512"/>
        <item x="439"/>
        <item x="524"/>
        <item x="617"/>
        <item x="0"/>
        <item x="102"/>
        <item x="335"/>
        <item x="392"/>
        <item x="622"/>
        <item x="87"/>
        <item x="560"/>
        <item x="613"/>
        <item x="568"/>
        <item x="596"/>
        <item x="239"/>
        <item x="501"/>
        <item x="419"/>
        <item x="128"/>
        <item x="304"/>
        <item x="56"/>
        <item x="634"/>
        <item x="639"/>
        <item x="567"/>
        <item x="314"/>
        <item x="559"/>
        <item x="547"/>
        <item x="189"/>
        <item x="303"/>
        <item x="366"/>
        <item x="400"/>
        <item x="127"/>
        <item x="517"/>
        <item x="376"/>
        <item x="20"/>
        <item x="626"/>
        <item x="345"/>
        <item x="478"/>
        <item x="554"/>
        <item x="638"/>
        <item x="71"/>
        <item x="365"/>
        <item x="558"/>
        <item x="295"/>
        <item x="582"/>
        <item x="101"/>
        <item x="575"/>
        <item x="544"/>
        <item x="253"/>
        <item x="268"/>
        <item x="287"/>
        <item x="227"/>
        <item x="473"/>
        <item x="55"/>
        <item x="213"/>
        <item x="603"/>
        <item x="465"/>
        <item x="438"/>
        <item x="523"/>
        <item x="126"/>
        <item x="279"/>
        <item x="621"/>
        <item x="631"/>
        <item x="516"/>
        <item x="278"/>
        <item x="286"/>
        <item x="70"/>
        <item x="445"/>
        <item x="486"/>
        <item x="113"/>
        <item x="586"/>
        <item x="323"/>
        <item x="485"/>
        <item x="294"/>
        <item x="464"/>
        <item x="375"/>
        <item x="451"/>
        <item x="574"/>
        <item x="463"/>
        <item x="494"/>
        <item x="625"/>
        <item x="616"/>
        <item x="418"/>
        <item x="630"/>
        <item x="602"/>
        <item x="139"/>
        <item x="374"/>
        <item x="593"/>
        <item x="226"/>
        <item x="553"/>
        <item x="538"/>
        <item x="409"/>
        <item x="608"/>
        <item x="598"/>
        <item x="543"/>
        <item x="382"/>
      </items>
    </pivotField>
    <pivotField dataField="1" showAll="0" defaultSubtotal="0">
      <items count="214">
        <item x="47"/>
        <item x="51"/>
        <item x="59"/>
        <item x="33"/>
        <item x="41"/>
        <item x="100"/>
        <item x="50"/>
        <item x="49"/>
        <item x="68"/>
        <item x="48"/>
        <item x="67"/>
        <item x="96"/>
        <item x="34"/>
        <item x="38"/>
        <item x="37"/>
        <item x="45"/>
        <item x="58"/>
        <item x="157"/>
        <item x="60"/>
        <item x="77"/>
        <item x="39"/>
        <item x="42"/>
        <item x="103"/>
        <item x="31"/>
        <item x="72"/>
        <item x="140"/>
        <item x="89"/>
        <item x="65"/>
        <item x="46"/>
        <item x="105"/>
        <item x="84"/>
        <item x="128"/>
        <item x="162"/>
        <item x="104"/>
        <item x="43"/>
        <item x="88"/>
        <item x="80"/>
        <item x="44"/>
        <item x="155"/>
        <item x="142"/>
        <item x="35"/>
        <item x="148"/>
        <item x="70"/>
        <item x="118"/>
        <item x="102"/>
        <item x="76"/>
        <item x="119"/>
        <item x="107"/>
        <item x="55"/>
        <item x="57"/>
        <item x="74"/>
        <item x="193"/>
        <item x="109"/>
        <item x="163"/>
        <item x="97"/>
        <item x="78"/>
        <item x="82"/>
        <item x="178"/>
        <item x="149"/>
        <item x="108"/>
        <item x="85"/>
        <item x="90"/>
        <item x="83"/>
        <item x="147"/>
        <item x="40"/>
        <item x="101"/>
        <item x="145"/>
        <item x="204"/>
        <item x="52"/>
        <item x="133"/>
        <item x="64"/>
        <item x="117"/>
        <item x="139"/>
        <item x="29"/>
        <item x="112"/>
        <item x="138"/>
        <item x="146"/>
        <item x="75"/>
        <item x="159"/>
        <item x="203"/>
        <item x="73"/>
        <item x="191"/>
        <item x="170"/>
        <item x="95"/>
        <item x="201"/>
        <item x="123"/>
        <item x="179"/>
        <item x="197"/>
        <item x="56"/>
        <item x="171"/>
        <item x="81"/>
        <item x="113"/>
        <item x="127"/>
        <item x="86"/>
        <item x="172"/>
        <item x="213"/>
        <item x="211"/>
        <item x="87"/>
        <item x="36"/>
        <item x="154"/>
        <item x="66"/>
        <item x="151"/>
        <item x="177"/>
        <item x="173"/>
        <item x="61"/>
        <item x="126"/>
        <item x="166"/>
        <item x="131"/>
        <item x="106"/>
        <item x="124"/>
        <item x="200"/>
        <item x="184"/>
        <item x="167"/>
        <item x="199"/>
        <item x="79"/>
        <item x="190"/>
        <item x="23"/>
        <item x="194"/>
        <item x="122"/>
        <item x="180"/>
        <item x="187"/>
        <item x="71"/>
        <item x="192"/>
        <item x="99"/>
        <item x="196"/>
        <item x="137"/>
        <item x="54"/>
        <item x="125"/>
        <item x="94"/>
        <item x="93"/>
        <item x="212"/>
        <item x="32"/>
        <item x="210"/>
        <item x="19"/>
        <item x="205"/>
        <item x="208"/>
        <item x="207"/>
        <item x="116"/>
        <item x="63"/>
        <item x="206"/>
        <item x="156"/>
        <item x="53"/>
        <item x="114"/>
        <item x="209"/>
        <item x="98"/>
        <item x="198"/>
        <item x="141"/>
        <item x="69"/>
        <item x="188"/>
        <item x="92"/>
        <item x="25"/>
        <item x="160"/>
        <item x="161"/>
        <item x="115"/>
        <item x="189"/>
        <item x="153"/>
        <item x="174"/>
        <item x="15"/>
        <item x="144"/>
        <item x="62"/>
        <item x="91"/>
        <item x="158"/>
        <item x="168"/>
        <item x="169"/>
        <item x="135"/>
        <item x="195"/>
        <item x="136"/>
        <item x="176"/>
        <item x="143"/>
        <item x="132"/>
        <item x="202"/>
        <item x="182"/>
        <item x="129"/>
        <item x="175"/>
        <item x="18"/>
        <item x="181"/>
        <item x="183"/>
        <item x="152"/>
        <item x="30"/>
        <item x="134"/>
        <item x="120"/>
        <item x="150"/>
        <item x="111"/>
        <item x="121"/>
        <item x="165"/>
        <item x="24"/>
        <item x="110"/>
        <item x="164"/>
        <item x="185"/>
        <item x="27"/>
        <item x="186"/>
        <item x="20"/>
        <item x="26"/>
        <item x="130"/>
        <item x="28"/>
        <item x="12"/>
        <item x="13"/>
        <item x="6"/>
        <item x="16"/>
        <item x="14"/>
        <item x="17"/>
        <item x="22"/>
        <item x="21"/>
        <item x="4"/>
        <item x="11"/>
        <item x="10"/>
        <item x="3"/>
        <item x="5"/>
        <item x="8"/>
        <item x="2"/>
        <item x="7"/>
        <item x="9"/>
        <item x="1"/>
        <item x="0"/>
      </items>
    </pivotField>
    <pivotField dataField="1" showAll="0" defaultSubtotal="0">
      <items count="719">
        <item x="47"/>
        <item x="33"/>
        <item x="336"/>
        <item x="362"/>
        <item x="80"/>
        <item x="66"/>
        <item x="143"/>
        <item x="327"/>
        <item x="261"/>
        <item x="34"/>
        <item x="249"/>
        <item x="104"/>
        <item x="37"/>
        <item x="234"/>
        <item x="78"/>
        <item x="203"/>
        <item x="67"/>
        <item x="145"/>
        <item x="388"/>
        <item x="19"/>
        <item x="53"/>
        <item x="189"/>
        <item x="31"/>
        <item x="173"/>
        <item x="93"/>
        <item x="129"/>
        <item x="15"/>
        <item x="146"/>
        <item x="471"/>
        <item x="553"/>
        <item x="117"/>
        <item x="315"/>
        <item x="77"/>
        <item x="645"/>
        <item x="95"/>
        <item x="448"/>
        <item x="216"/>
        <item x="710"/>
        <item x="62"/>
        <item x="18"/>
        <item x="236"/>
        <item x="132"/>
        <item x="519"/>
        <item x="35"/>
        <item x="377"/>
        <item x="419"/>
        <item x="248"/>
        <item x="218"/>
        <item x="260"/>
        <item x="449"/>
        <item x="127"/>
        <item x="147"/>
        <item x="302"/>
        <item x="430"/>
        <item x="552"/>
        <item x="217"/>
        <item x="490"/>
        <item x="285"/>
        <item x="659"/>
        <item x="328"/>
        <item x="695"/>
        <item x="301"/>
        <item x="259"/>
        <item x="441"/>
        <item x="470"/>
        <item x="170"/>
        <item x="578"/>
        <item x="131"/>
        <item x="157"/>
        <item x="51"/>
        <item x="82"/>
        <item x="458"/>
        <item x="376"/>
        <item x="175"/>
        <item x="480"/>
        <item x="96"/>
        <item x="187"/>
        <item x="398"/>
        <item x="529"/>
        <item x="287"/>
        <item x="128"/>
        <item x="579"/>
        <item x="596"/>
        <item x="29"/>
        <item x="274"/>
        <item x="288"/>
        <item x="219"/>
        <item x="79"/>
        <item x="675"/>
        <item x="346"/>
        <item x="426"/>
        <item x="41"/>
        <item x="231"/>
        <item x="272"/>
        <item x="600"/>
        <item x="440"/>
        <item x="314"/>
        <item x="686"/>
        <item x="408"/>
        <item x="427"/>
        <item x="384"/>
        <item x="159"/>
        <item x="347"/>
        <item x="399"/>
        <item x="375"/>
        <item x="422"/>
        <item x="499"/>
        <item x="208"/>
        <item x="12"/>
        <item x="393"/>
        <item x="235"/>
        <item x="130"/>
        <item x="571"/>
        <item x="325"/>
        <item x="312"/>
        <item x="36"/>
        <item x="286"/>
        <item x="181"/>
        <item x="658"/>
        <item x="273"/>
        <item x="13"/>
        <item x="693"/>
        <item x="57"/>
        <item x="97"/>
        <item x="81"/>
        <item x="547"/>
        <item x="137"/>
        <item x="230"/>
        <item x="358"/>
        <item x="186"/>
        <item x="417"/>
        <item x="300"/>
        <item x="6"/>
        <item x="61"/>
        <item x="74"/>
        <item x="551"/>
        <item x="676"/>
        <item x="515"/>
        <item x="160"/>
        <item x="199"/>
        <item x="106"/>
        <item x="52"/>
        <item x="335"/>
        <item x="481"/>
        <item x="599"/>
        <item x="16"/>
        <item x="215"/>
        <item x="387"/>
        <item x="457"/>
        <item x="246"/>
        <item x="23"/>
        <item x="636"/>
        <item x="545"/>
        <item x="214"/>
        <item x="185"/>
        <item x="14"/>
        <item x="374"/>
        <item x="232"/>
        <item x="158"/>
        <item x="105"/>
        <item x="350"/>
        <item x="142"/>
        <item x="489"/>
        <item x="213"/>
        <item x="202"/>
        <item x="188"/>
        <item x="459"/>
        <item x="50"/>
        <item x="561"/>
        <item x="65"/>
        <item x="432"/>
        <item x="421"/>
        <item x="400"/>
        <item x="348"/>
        <item x="479"/>
        <item x="17"/>
        <item x="410"/>
        <item x="115"/>
        <item x="32"/>
        <item x="167"/>
        <item x="704"/>
        <item x="326"/>
        <item x="474"/>
        <item x="361"/>
        <item x="91"/>
        <item x="247"/>
        <item x="349"/>
        <item x="641"/>
        <item x="68"/>
        <item x="227"/>
        <item x="207"/>
        <item x="634"/>
        <item x="514"/>
        <item x="126"/>
        <item x="717"/>
        <item x="462"/>
        <item x="174"/>
        <item x="179"/>
        <item x="271"/>
        <item x="94"/>
        <item x="373"/>
        <item x="486"/>
        <item x="258"/>
        <item x="712"/>
        <item x="279"/>
        <item x="404"/>
        <item x="544"/>
        <item x="110"/>
        <item x="48"/>
        <item x="140"/>
        <item x="431"/>
        <item x="498"/>
        <item x="412"/>
        <item x="25"/>
        <item x="528"/>
        <item x="473"/>
        <item x="517"/>
        <item x="392"/>
        <item x="324"/>
        <item x="233"/>
        <item x="171"/>
        <item x="111"/>
        <item x="464"/>
        <item x="439"/>
        <item x="86"/>
        <item x="685"/>
        <item x="224"/>
        <item x="394"/>
        <item x="209"/>
        <item x="299"/>
        <item x="505"/>
        <item x="500"/>
        <item x="322"/>
        <item x="420"/>
        <item x="313"/>
        <item x="532"/>
        <item x="397"/>
        <item x="4"/>
        <item x="11"/>
        <item x="679"/>
        <item x="651"/>
        <item x="418"/>
        <item x="510"/>
        <item x="593"/>
        <item x="184"/>
        <item x="635"/>
        <item x="306"/>
        <item x="643"/>
        <item x="245"/>
        <item x="469"/>
        <item x="590"/>
        <item x="178"/>
        <item x="537"/>
        <item x="354"/>
        <item x="533"/>
        <item x="164"/>
        <item x="298"/>
        <item x="310"/>
        <item x="526"/>
        <item x="690"/>
        <item x="713"/>
        <item x="49"/>
        <item x="201"/>
        <item x="493"/>
        <item x="305"/>
        <item x="253"/>
        <item x="360"/>
        <item x="144"/>
        <item x="270"/>
        <item x="601"/>
        <item x="243"/>
        <item x="501"/>
        <item x="403"/>
        <item x="369"/>
        <item x="608"/>
        <item x="311"/>
        <item x="669"/>
        <item x="359"/>
        <item x="478"/>
        <item x="644"/>
        <item x="372"/>
        <item x="560"/>
        <item x="575"/>
        <item x="242"/>
        <item x="665"/>
        <item x="38"/>
        <item x="718"/>
        <item x="229"/>
        <item x="163"/>
        <item x="150"/>
        <item x="508"/>
        <item x="114"/>
        <item x="283"/>
        <item x="488"/>
        <item x="386"/>
        <item x="633"/>
        <item x="518"/>
        <item x="443"/>
        <item x="371"/>
        <item x="193"/>
        <item x="10"/>
        <item x="520"/>
        <item x="113"/>
        <item x="223"/>
        <item x="576"/>
        <item x="294"/>
        <item x="172"/>
        <item x="521"/>
        <item x="568"/>
        <item x="341"/>
        <item x="3"/>
        <item x="228"/>
        <item x="297"/>
        <item x="323"/>
        <item x="151"/>
        <item x="382"/>
        <item x="699"/>
        <item x="197"/>
        <item x="64"/>
        <item x="45"/>
        <item x="525"/>
        <item x="200"/>
        <item x="570"/>
        <item x="447"/>
        <item x="192"/>
        <item x="509"/>
        <item x="154"/>
        <item x="674"/>
        <item x="264"/>
        <item x="344"/>
        <item x="225"/>
        <item x="694"/>
        <item x="370"/>
        <item x="628"/>
        <item x="356"/>
        <item x="125"/>
        <item x="487"/>
        <item x="30"/>
        <item x="703"/>
        <item x="385"/>
        <item x="156"/>
        <item x="345"/>
        <item x="496"/>
        <item x="454"/>
        <item x="485"/>
        <item x="141"/>
        <item x="340"/>
        <item x="569"/>
        <item x="396"/>
        <item x="709"/>
        <item x="84"/>
        <item x="281"/>
        <item x="698"/>
        <item x="627"/>
        <item x="295"/>
        <item x="342"/>
        <item x="244"/>
        <item x="715"/>
        <item x="437"/>
        <item x="226"/>
        <item x="148"/>
        <item x="239"/>
        <item x="650"/>
        <item x="700"/>
        <item x="656"/>
        <item x="503"/>
        <item x="284"/>
        <item x="411"/>
        <item x="196"/>
        <item x="90"/>
        <item x="282"/>
        <item x="559"/>
        <item x="573"/>
        <item x="101"/>
        <item x="211"/>
        <item x="319"/>
        <item x="166"/>
        <item x="409"/>
        <item x="538"/>
        <item x="251"/>
        <item x="405"/>
        <item x="607"/>
        <item x="241"/>
        <item x="194"/>
        <item x="550"/>
        <item x="267"/>
        <item x="116"/>
        <item x="118"/>
        <item x="460"/>
        <item x="619"/>
        <item x="453"/>
        <item x="212"/>
        <item x="5"/>
        <item x="711"/>
        <item x="391"/>
        <item x="366"/>
        <item x="103"/>
        <item x="39"/>
        <item x="308"/>
        <item x="8"/>
        <item x="566"/>
        <item x="343"/>
        <item x="320"/>
        <item x="662"/>
        <item x="367"/>
        <item x="269"/>
        <item x="88"/>
        <item x="24"/>
        <item x="657"/>
        <item x="254"/>
        <item x="292"/>
        <item x="610"/>
        <item x="268"/>
        <item x="169"/>
        <item x="467"/>
        <item x="210"/>
        <item x="183"/>
        <item x="562"/>
        <item x="42"/>
        <item x="692"/>
        <item x="556"/>
        <item x="395"/>
        <item x="58"/>
        <item x="339"/>
        <item x="296"/>
        <item x="708"/>
        <item x="507"/>
        <item x="257"/>
        <item x="222"/>
        <item x="63"/>
        <item x="543"/>
        <item x="138"/>
        <item x="567"/>
        <item x="357"/>
        <item x="631"/>
        <item x="497"/>
        <item x="456"/>
        <item x="318"/>
        <item x="2"/>
        <item x="702"/>
        <item x="642"/>
        <item x="504"/>
        <item x="7"/>
        <item x="483"/>
        <item x="466"/>
        <item x="265"/>
        <item x="162"/>
        <item x="92"/>
        <item x="278"/>
        <item x="614"/>
        <item x="585"/>
        <item x="355"/>
        <item x="701"/>
        <item x="605"/>
        <item x="495"/>
        <item x="625"/>
        <item x="309"/>
        <item x="240"/>
        <item x="476"/>
        <item x="565"/>
        <item x="195"/>
        <item x="368"/>
        <item x="168"/>
        <item x="632"/>
        <item x="204"/>
        <item x="198"/>
        <item x="277"/>
        <item x="99"/>
        <item x="663"/>
        <item x="321"/>
        <item x="331"/>
        <item x="133"/>
        <item x="626"/>
        <item x="602"/>
        <item x="365"/>
        <item x="27"/>
        <item x="280"/>
        <item x="122"/>
        <item x="615"/>
        <item x="591"/>
        <item x="75"/>
        <item x="293"/>
        <item x="20"/>
        <item x="673"/>
        <item x="406"/>
        <item x="180"/>
        <item x="429"/>
        <item x="291"/>
        <item x="577"/>
        <item x="436"/>
        <item x="589"/>
        <item x="606"/>
        <item x="334"/>
        <item x="416"/>
        <item x="620"/>
        <item x="438"/>
        <item x="112"/>
        <item x="584"/>
        <item x="332"/>
        <item x="9"/>
        <item x="256"/>
        <item x="465"/>
        <item x="72"/>
        <item x="540"/>
        <item x="511"/>
        <item x="26"/>
        <item x="684"/>
        <item x="612"/>
        <item x="527"/>
        <item x="124"/>
        <item x="73"/>
        <item x="539"/>
        <item x="621"/>
        <item x="307"/>
        <item x="468"/>
        <item x="333"/>
        <item x="46"/>
        <item x="536"/>
        <item x="266"/>
        <item x="407"/>
        <item x="714"/>
        <item x="59"/>
        <item x="492"/>
        <item x="428"/>
        <item x="678"/>
        <item x="582"/>
        <item x="688"/>
        <item x="664"/>
        <item x="182"/>
        <item x="557"/>
        <item x="618"/>
        <item x="54"/>
        <item x="435"/>
        <item x="455"/>
        <item x="378"/>
        <item x="652"/>
        <item x="136"/>
        <item x="477"/>
        <item x="445"/>
        <item x="583"/>
        <item x="89"/>
        <item x="522"/>
        <item x="383"/>
        <item x="153"/>
        <item x="558"/>
        <item x="87"/>
        <item x="611"/>
        <item x="352"/>
        <item x="655"/>
        <item x="43"/>
        <item x="506"/>
        <item x="546"/>
        <item x="668"/>
        <item x="637"/>
        <item x="672"/>
        <item x="446"/>
        <item x="683"/>
        <item x="155"/>
        <item x="28"/>
        <item x="687"/>
        <item x="638"/>
        <item x="255"/>
        <item x="588"/>
        <item x="44"/>
        <item x="100"/>
        <item x="680"/>
        <item x="595"/>
        <item x="381"/>
        <item x="646"/>
        <item x="613"/>
        <item x="512"/>
        <item x="60"/>
        <item x="76"/>
        <item x="516"/>
        <item x="654"/>
        <item x="102"/>
        <item x="587"/>
        <item x="413"/>
        <item x="139"/>
        <item x="660"/>
        <item x="494"/>
        <item x="624"/>
        <item x="69"/>
        <item x="630"/>
        <item x="353"/>
        <item x="107"/>
        <item x="513"/>
        <item x="598"/>
        <item x="677"/>
        <item x="647"/>
        <item x="452"/>
        <item x="682"/>
        <item x="670"/>
        <item x="276"/>
        <item x="667"/>
        <item x="123"/>
        <item x="531"/>
        <item x="165"/>
        <item x="121"/>
        <item x="649"/>
        <item x="152"/>
        <item x="653"/>
        <item x="629"/>
        <item x="530"/>
        <item x="535"/>
        <item x="574"/>
        <item x="463"/>
        <item x="666"/>
        <item x="549"/>
        <item x="594"/>
        <item x="640"/>
        <item x="707"/>
        <item x="475"/>
        <item x="338"/>
        <item x="648"/>
        <item x="263"/>
        <item x="423"/>
        <item x="609"/>
        <item x="623"/>
        <item x="221"/>
        <item x="425"/>
        <item x="484"/>
        <item x="697"/>
        <item x="364"/>
        <item x="564"/>
        <item x="450"/>
        <item x="85"/>
        <item x="691"/>
        <item x="661"/>
        <item x="705"/>
        <item x="681"/>
        <item x="617"/>
        <item x="671"/>
        <item x="639"/>
        <item x="120"/>
        <item x="622"/>
        <item x="252"/>
        <item x="434"/>
        <item x="689"/>
        <item x="1"/>
        <item x="706"/>
        <item x="206"/>
        <item x="716"/>
        <item x="177"/>
        <item x="461"/>
        <item x="555"/>
        <item x="337"/>
        <item x="22"/>
        <item x="424"/>
        <item x="238"/>
        <item x="262"/>
        <item x="149"/>
        <item x="135"/>
        <item x="190"/>
        <item x="329"/>
        <item x="380"/>
        <item x="205"/>
        <item x="330"/>
        <item x="71"/>
        <item x="56"/>
        <item x="604"/>
        <item x="290"/>
        <item x="390"/>
        <item x="548"/>
        <item x="220"/>
        <item x="363"/>
        <item x="40"/>
        <item x="563"/>
        <item x="176"/>
        <item x="0"/>
        <item x="191"/>
        <item x="534"/>
        <item x="289"/>
        <item x="433"/>
        <item x="572"/>
        <item x="597"/>
        <item x="275"/>
        <item x="317"/>
        <item x="586"/>
        <item x="119"/>
        <item x="304"/>
        <item x="379"/>
        <item x="592"/>
        <item x="696"/>
        <item x="415"/>
        <item x="21"/>
        <item x="451"/>
        <item x="401"/>
        <item x="472"/>
        <item x="108"/>
        <item x="581"/>
        <item x="444"/>
        <item x="402"/>
        <item x="250"/>
        <item x="161"/>
        <item x="389"/>
        <item x="580"/>
        <item x="83"/>
        <item x="237"/>
        <item x="316"/>
        <item x="303"/>
        <item x="502"/>
        <item x="55"/>
        <item x="109"/>
        <item x="482"/>
        <item x="524"/>
        <item x="351"/>
        <item x="491"/>
        <item x="542"/>
        <item x="554"/>
        <item x="442"/>
        <item x="523"/>
        <item x="134"/>
        <item x="70"/>
        <item x="541"/>
        <item x="98"/>
        <item x="616"/>
        <item x="414"/>
        <item x="603"/>
      </items>
    </pivotField>
    <pivotField dataField="1" showAll="0" defaultSubtotal="0">
      <items count="214">
        <item x="213"/>
        <item x="49"/>
        <item x="212"/>
        <item x="184"/>
        <item x="179"/>
        <item x="167"/>
        <item x="177"/>
        <item x="47"/>
        <item x="128"/>
        <item x="166"/>
        <item x="46"/>
        <item x="54"/>
        <item x="62"/>
        <item x="112"/>
        <item x="51"/>
        <item x="55"/>
        <item x="114"/>
        <item x="74"/>
        <item x="43"/>
        <item x="53"/>
        <item x="52"/>
        <item x="108"/>
        <item x="72"/>
        <item x="93"/>
        <item x="73"/>
        <item x="110"/>
        <item x="48"/>
        <item x="104"/>
        <item x="50"/>
        <item x="129"/>
        <item x="101"/>
        <item x="45"/>
        <item x="89"/>
        <item x="66"/>
        <item x="97"/>
        <item x="65"/>
        <item x="100"/>
        <item x="90"/>
        <item x="58"/>
        <item x="102"/>
        <item x="98"/>
        <item x="61"/>
        <item x="91"/>
        <item x="68"/>
        <item x="176"/>
        <item x="71"/>
        <item x="109"/>
        <item x="105"/>
        <item x="88"/>
        <item x="132"/>
        <item x="107"/>
        <item x="70"/>
        <item x="69"/>
        <item x="175"/>
        <item x="144"/>
        <item x="57"/>
        <item x="126"/>
        <item x="121"/>
        <item x="145"/>
        <item x="99"/>
        <item x="147"/>
        <item x="123"/>
        <item x="67"/>
        <item x="174"/>
        <item x="148"/>
        <item x="81"/>
        <item x="42"/>
        <item x="118"/>
        <item x="178"/>
        <item x="106"/>
        <item x="113"/>
        <item x="87"/>
        <item x="63"/>
        <item x="60"/>
        <item x="44"/>
        <item x="79"/>
        <item x="117"/>
        <item x="202"/>
        <item x="86"/>
        <item x="64"/>
        <item x="77"/>
        <item x="119"/>
        <item x="127"/>
        <item x="41"/>
        <item x="138"/>
        <item x="146"/>
        <item x="189"/>
        <item x="140"/>
        <item x="84"/>
        <item x="116"/>
        <item x="139"/>
        <item x="193"/>
        <item x="85"/>
        <item x="183"/>
        <item x="172"/>
        <item x="40"/>
        <item x="120"/>
        <item x="157"/>
        <item x="125"/>
        <item x="82"/>
        <item x="83"/>
        <item x="95"/>
        <item x="76"/>
        <item x="158"/>
        <item x="111"/>
        <item x="103"/>
        <item x="130"/>
        <item x="131"/>
        <item x="124"/>
        <item x="59"/>
        <item x="96"/>
        <item x="141"/>
        <item x="80"/>
        <item x="173"/>
        <item x="168"/>
        <item x="201"/>
        <item x="28"/>
        <item x="94"/>
        <item x="195"/>
        <item x="78"/>
        <item x="182"/>
        <item x="165"/>
        <item x="188"/>
        <item x="199"/>
        <item x="204"/>
        <item x="187"/>
        <item x="198"/>
        <item x="211"/>
        <item x="160"/>
        <item x="185"/>
        <item x="92"/>
        <item x="159"/>
        <item x="194"/>
        <item x="203"/>
        <item x="209"/>
        <item x="164"/>
        <item x="143"/>
        <item x="163"/>
        <item x="162"/>
        <item x="136"/>
        <item x="150"/>
        <item x="180"/>
        <item x="171"/>
        <item x="181"/>
        <item x="56"/>
        <item x="192"/>
        <item x="161"/>
        <item x="208"/>
        <item x="207"/>
        <item x="206"/>
        <item x="210"/>
        <item x="142"/>
        <item x="205"/>
        <item x="38"/>
        <item x="137"/>
        <item x="197"/>
        <item x="191"/>
        <item x="186"/>
        <item x="75"/>
        <item x="135"/>
        <item x="34"/>
        <item x="196"/>
        <item x="134"/>
        <item x="155"/>
        <item x="39"/>
        <item x="190"/>
        <item x="115"/>
        <item x="170"/>
        <item x="122"/>
        <item x="33"/>
        <item x="37"/>
        <item x="30"/>
        <item x="133"/>
        <item x="26"/>
        <item x="36"/>
        <item x="22"/>
        <item x="169"/>
        <item x="35"/>
        <item x="200"/>
        <item x="156"/>
        <item x="154"/>
        <item x="27"/>
        <item x="31"/>
        <item x="32"/>
        <item x="21"/>
        <item x="153"/>
        <item x="152"/>
        <item x="151"/>
        <item x="24"/>
        <item x="9"/>
        <item x="29"/>
        <item x="17"/>
        <item x="25"/>
        <item x="149"/>
        <item x="23"/>
        <item x="16"/>
        <item x="7"/>
        <item x="14"/>
        <item x="18"/>
        <item x="10"/>
        <item x="8"/>
        <item x="20"/>
        <item x="19"/>
        <item x="13"/>
        <item x="11"/>
        <item x="1"/>
        <item x="12"/>
        <item x="15"/>
        <item x="0"/>
        <item x="5"/>
        <item x="6"/>
        <item x="3"/>
        <item x="4"/>
        <item x="2"/>
      </items>
    </pivotField>
    <pivotField dataField="1" showAll="0" defaultSubtotal="0">
      <items count="606">
        <item x="534"/>
        <item x="48"/>
        <item x="524"/>
        <item x="605"/>
        <item x="477"/>
        <item x="349"/>
        <item x="279"/>
        <item x="593"/>
        <item x="519"/>
        <item x="556"/>
        <item x="333"/>
        <item x="430"/>
        <item x="451"/>
        <item x="189"/>
        <item x="241"/>
        <item x="604"/>
        <item x="387"/>
        <item x="561"/>
        <item x="229"/>
        <item x="461"/>
        <item x="111"/>
        <item x="518"/>
        <item x="408"/>
        <item x="511"/>
        <item x="172"/>
        <item x="216"/>
        <item x="131"/>
        <item x="273"/>
        <item x="537"/>
        <item x="448"/>
        <item x="591"/>
        <item x="60"/>
        <item x="308"/>
        <item x="97"/>
        <item x="47"/>
        <item x="420"/>
        <item x="250"/>
        <item x="9"/>
        <item x="28"/>
        <item x="188"/>
        <item x="462"/>
        <item x="155"/>
        <item x="529"/>
        <item x="280"/>
        <item x="17"/>
        <item x="185"/>
        <item x="445"/>
        <item x="259"/>
        <item x="320"/>
        <item x="454"/>
        <item x="312"/>
        <item x="239"/>
        <item x="149"/>
        <item x="351"/>
        <item x="208"/>
        <item x="298"/>
        <item x="568"/>
        <item x="274"/>
        <item x="71"/>
        <item x="284"/>
        <item x="178"/>
        <item x="339"/>
        <item x="475"/>
        <item x="148"/>
        <item x="46"/>
        <item x="419"/>
        <item x="321"/>
        <item x="230"/>
        <item x="170"/>
        <item x="332"/>
        <item x="201"/>
        <item x="560"/>
        <item x="440"/>
        <item x="426"/>
        <item x="52"/>
        <item x="494"/>
        <item x="150"/>
        <item x="124"/>
        <item x="341"/>
        <item x="104"/>
        <item x="302"/>
        <item x="512"/>
        <item x="334"/>
        <item x="164"/>
        <item x="120"/>
        <item x="350"/>
        <item x="403"/>
        <item x="69"/>
        <item x="86"/>
        <item x="378"/>
        <item x="410"/>
        <item x="536"/>
        <item x="282"/>
        <item x="16"/>
        <item x="309"/>
        <item x="243"/>
        <item x="215"/>
        <item x="38"/>
        <item x="90"/>
        <item x="402"/>
        <item x="70"/>
        <item x="231"/>
        <item x="269"/>
        <item x="476"/>
        <item x="220"/>
        <item x="233"/>
        <item x="50"/>
        <item x="128"/>
        <item x="310"/>
        <item x="87"/>
        <item x="427"/>
        <item x="147"/>
        <item x="324"/>
        <item x="411"/>
        <item x="232"/>
        <item x="160"/>
        <item x="394"/>
        <item x="180"/>
        <item x="53"/>
        <item x="222"/>
        <item x="263"/>
        <item x="34"/>
        <item x="139"/>
        <item x="7"/>
        <item x="455"/>
        <item x="412"/>
        <item x="181"/>
        <item x="400"/>
        <item x="134"/>
        <item x="206"/>
        <item x="14"/>
        <item x="39"/>
        <item x="99"/>
        <item x="326"/>
        <item x="179"/>
        <item x="327"/>
        <item x="253"/>
        <item x="209"/>
        <item x="133"/>
        <item x="283"/>
        <item x="114"/>
        <item x="18"/>
        <item x="153"/>
        <item x="388"/>
        <item x="515"/>
        <item x="207"/>
        <item x="103"/>
        <item x="10"/>
        <item x="406"/>
        <item x="244"/>
        <item x="121"/>
        <item x="8"/>
        <item x="544"/>
        <item x="33"/>
        <item x="43"/>
        <item x="19"/>
        <item x="191"/>
        <item x="313"/>
        <item x="354"/>
        <item x="285"/>
        <item x="129"/>
        <item x="64"/>
        <item x="85"/>
        <item x="37"/>
        <item x="425"/>
        <item x="353"/>
        <item x="163"/>
        <item x="51"/>
        <item x="101"/>
        <item x="30"/>
        <item x="381"/>
        <item x="365"/>
        <item x="177"/>
        <item x="211"/>
        <item x="202"/>
        <item x="63"/>
        <item x="508"/>
        <item x="162"/>
        <item x="364"/>
        <item x="192"/>
        <item x="13"/>
        <item x="11"/>
        <item x="130"/>
        <item x="204"/>
        <item x="383"/>
        <item x="1"/>
        <item x="193"/>
        <item x="467"/>
        <item x="161"/>
        <item x="102"/>
        <item x="119"/>
        <item x="203"/>
        <item x="132"/>
        <item x="325"/>
        <item x="219"/>
        <item x="56"/>
        <item x="26"/>
        <item x="261"/>
        <item x="401"/>
        <item x="176"/>
        <item x="107"/>
        <item x="36"/>
        <item x="100"/>
        <item x="22"/>
        <item x="293"/>
        <item x="450"/>
        <item x="418"/>
        <item x="363"/>
        <item x="277"/>
        <item x="35"/>
        <item x="12"/>
        <item x="252"/>
        <item x="602"/>
        <item x="262"/>
        <item x="59"/>
        <item x="374"/>
        <item x="95"/>
        <item x="592"/>
        <item x="522"/>
        <item x="218"/>
        <item x="15"/>
        <item x="311"/>
        <item x="335"/>
        <item x="242"/>
        <item x="66"/>
        <item x="268"/>
        <item x="88"/>
        <item x="343"/>
        <item x="301"/>
        <item x="553"/>
        <item x="123"/>
        <item x="187"/>
        <item x="323"/>
        <item x="0"/>
        <item x="375"/>
        <item x="393"/>
        <item x="78"/>
        <item x="68"/>
        <item x="174"/>
        <item x="322"/>
        <item x="434"/>
        <item x="399"/>
        <item x="146"/>
        <item x="158"/>
        <item x="249"/>
        <item x="27"/>
        <item x="300"/>
        <item x="342"/>
        <item x="271"/>
        <item x="199"/>
        <item x="586"/>
        <item x="145"/>
        <item x="545"/>
        <item x="175"/>
        <item x="234"/>
        <item x="281"/>
        <item x="264"/>
        <item x="118"/>
        <item x="205"/>
        <item x="84"/>
        <item x="166"/>
        <item x="449"/>
        <item x="361"/>
        <item x="227"/>
        <item x="194"/>
        <item x="49"/>
        <item x="485"/>
        <item x="117"/>
        <item x="31"/>
        <item x="83"/>
        <item x="424"/>
        <item x="314"/>
        <item x="67"/>
        <item x="190"/>
        <item x="597"/>
        <item x="379"/>
        <item x="579"/>
        <item x="76"/>
        <item x="286"/>
        <item x="32"/>
        <item x="352"/>
        <item x="483"/>
        <item x="21"/>
        <item x="303"/>
        <item x="317"/>
        <item x="115"/>
        <item x="140"/>
        <item x="254"/>
        <item x="566"/>
        <item x="523"/>
        <item x="498"/>
        <item x="463"/>
        <item x="141"/>
        <item x="152"/>
        <item x="82"/>
        <item x="386"/>
        <item x="55"/>
        <item x="45"/>
        <item x="287"/>
        <item x="105"/>
        <item x="74"/>
        <item x="366"/>
        <item x="510"/>
        <item x="356"/>
        <item x="372"/>
        <item x="98"/>
        <item x="585"/>
        <item x="173"/>
        <item x="294"/>
        <item x="210"/>
        <item x="442"/>
        <item x="417"/>
        <item x="549"/>
        <item x="428"/>
        <item x="331"/>
        <item x="144"/>
        <item x="159"/>
        <item x="506"/>
        <item x="492"/>
        <item x="371"/>
        <item x="460"/>
        <item x="96"/>
        <item x="505"/>
        <item x="138"/>
        <item x="468"/>
        <item x="80"/>
        <item x="573"/>
        <item x="65"/>
        <item x="407"/>
        <item x="251"/>
        <item x="391"/>
        <item x="474"/>
        <item x="548"/>
        <item x="81"/>
        <item x="578"/>
        <item x="466"/>
        <item x="589"/>
        <item x="436"/>
        <item x="340"/>
        <item x="116"/>
        <item x="142"/>
        <item x="583"/>
        <item x="562"/>
        <item x="567"/>
        <item x="94"/>
        <item x="278"/>
        <item x="109"/>
        <item x="488"/>
        <item x="598"/>
        <item x="530"/>
        <item x="517"/>
        <item x="347"/>
        <item x="595"/>
        <item x="478"/>
        <item x="113"/>
        <item x="24"/>
        <item x="157"/>
        <item x="171"/>
        <item x="486"/>
        <item x="198"/>
        <item x="409"/>
        <item x="291"/>
        <item x="112"/>
        <item x="5"/>
        <item x="61"/>
        <item x="136"/>
        <item x="571"/>
        <item x="58"/>
        <item x="108"/>
        <item x="499"/>
        <item x="380"/>
        <item x="79"/>
        <item x="258"/>
        <item x="228"/>
        <item x="240"/>
        <item x="487"/>
        <item x="226"/>
        <item x="73"/>
        <item x="248"/>
        <item x="370"/>
        <item x="217"/>
        <item x="437"/>
        <item x="338"/>
        <item x="260"/>
        <item x="143"/>
        <item x="362"/>
        <item x="270"/>
        <item x="376"/>
        <item x="433"/>
        <item x="369"/>
        <item x="501"/>
        <item x="307"/>
        <item x="62"/>
        <item x="565"/>
        <item x="528"/>
        <item x="29"/>
        <item x="299"/>
        <item x="392"/>
        <item x="358"/>
        <item x="542"/>
        <item x="156"/>
        <item x="272"/>
        <item x="348"/>
        <item x="330"/>
        <item x="77"/>
        <item x="292"/>
        <item x="25"/>
        <item x="318"/>
        <item x="237"/>
        <item x="267"/>
        <item x="416"/>
        <item x="435"/>
        <item x="319"/>
        <item x="496"/>
        <item x="137"/>
        <item x="6"/>
        <item x="385"/>
        <item x="432"/>
        <item x="504"/>
        <item x="75"/>
        <item x="491"/>
        <item x="296"/>
        <item x="535"/>
        <item x="384"/>
        <item x="446"/>
        <item x="482"/>
        <item x="415"/>
        <item x="200"/>
        <item x="235"/>
        <item x="169"/>
        <item x="497"/>
        <item x="458"/>
        <item x="447"/>
        <item x="247"/>
        <item x="465"/>
        <item x="527"/>
        <item x="305"/>
        <item x="154"/>
        <item x="225"/>
        <item x="596"/>
        <item x="336"/>
        <item x="275"/>
        <item x="337"/>
        <item x="357"/>
        <item x="329"/>
        <item x="516"/>
        <item x="110"/>
        <item x="266"/>
        <item x="584"/>
        <item x="236"/>
        <item x="359"/>
        <item x="590"/>
        <item x="224"/>
        <item x="297"/>
        <item x="398"/>
        <item x="23"/>
        <item x="186"/>
        <item x="127"/>
        <item x="431"/>
        <item x="539"/>
        <item x="213"/>
        <item x="581"/>
        <item x="438"/>
        <item x="238"/>
        <item x="603"/>
        <item x="3"/>
        <item x="346"/>
        <item x="197"/>
        <item x="490"/>
        <item x="493"/>
        <item x="439"/>
        <item x="543"/>
        <item x="459"/>
        <item x="470"/>
        <item x="464"/>
        <item x="196"/>
        <item x="345"/>
        <item x="507"/>
        <item x="126"/>
        <item x="168"/>
        <item x="502"/>
        <item x="92"/>
        <item x="377"/>
        <item x="328"/>
        <item x="469"/>
        <item x="453"/>
        <item x="246"/>
        <item x="444"/>
        <item x="367"/>
        <item x="533"/>
        <item x="276"/>
        <item x="479"/>
        <item x="368"/>
        <item x="552"/>
        <item x="541"/>
        <item x="214"/>
        <item x="577"/>
        <item x="4"/>
        <item x="182"/>
        <item x="57"/>
        <item x="601"/>
        <item x="441"/>
        <item x="42"/>
        <item x="290"/>
        <item x="223"/>
        <item x="183"/>
        <item x="473"/>
        <item x="184"/>
        <item x="503"/>
        <item x="495"/>
        <item x="93"/>
        <item x="574"/>
        <item x="288"/>
        <item x="390"/>
        <item x="481"/>
        <item x="532"/>
        <item x="521"/>
        <item x="316"/>
        <item x="125"/>
        <item x="257"/>
        <item x="555"/>
        <item x="167"/>
        <item x="212"/>
        <item x="304"/>
        <item x="514"/>
        <item x="256"/>
        <item x="509"/>
        <item x="480"/>
        <item x="91"/>
        <item x="306"/>
        <item x="471"/>
        <item x="397"/>
        <item x="44"/>
        <item x="289"/>
        <item x="457"/>
        <item x="472"/>
        <item x="389"/>
        <item x="265"/>
        <item x="551"/>
        <item x="594"/>
        <item x="526"/>
        <item x="405"/>
        <item x="456"/>
        <item x="295"/>
        <item x="315"/>
        <item x="195"/>
        <item x="600"/>
        <item x="558"/>
        <item x="245"/>
        <item x="525"/>
        <item x="513"/>
        <item x="2"/>
        <item x="360"/>
        <item x="89"/>
        <item x="423"/>
        <item x="422"/>
        <item x="41"/>
        <item x="396"/>
        <item x="550"/>
        <item x="599"/>
        <item x="165"/>
        <item x="344"/>
        <item x="421"/>
        <item x="546"/>
        <item x="587"/>
        <item x="106"/>
        <item x="221"/>
        <item x="255"/>
        <item x="484"/>
        <item x="414"/>
        <item x="443"/>
        <item x="576"/>
        <item x="547"/>
        <item x="40"/>
        <item x="122"/>
        <item x="72"/>
        <item x="429"/>
        <item x="355"/>
        <item x="20"/>
        <item x="500"/>
        <item x="54"/>
        <item x="569"/>
        <item x="575"/>
        <item x="489"/>
        <item x="588"/>
        <item x="582"/>
        <item x="557"/>
        <item x="559"/>
        <item x="404"/>
        <item x="554"/>
        <item x="395"/>
        <item x="580"/>
        <item x="540"/>
        <item x="135"/>
        <item x="452"/>
        <item x="531"/>
        <item x="563"/>
        <item x="373"/>
        <item x="413"/>
        <item x="564"/>
        <item x="151"/>
        <item x="538"/>
        <item x="520"/>
        <item x="382"/>
        <item x="572"/>
        <item x="570"/>
      </items>
    </pivotField>
    <pivotField dataField="1" showAll="0" defaultSubtotal="0">
      <items count="10">
        <item x="4"/>
        <item x="0"/>
        <item x="3"/>
        <item x="5"/>
        <item x="8"/>
        <item x="1"/>
        <item x="7"/>
        <item x="9"/>
        <item x="6"/>
        <item x="2"/>
      </items>
    </pivotField>
  </pivotFields>
  <rowFields count="3">
    <field x="2"/>
    <field x="6"/>
    <field x="5"/>
  </rowFields>
  <rowItems count="1707">
    <i>
      <x/>
    </i>
    <i r="1">
      <x/>
      <x v="48"/>
    </i>
    <i r="1">
      <x v="1"/>
      <x v="46"/>
    </i>
    <i r="1">
      <x v="2"/>
      <x v="41"/>
    </i>
    <i r="1">
      <x v="3"/>
      <x v="1"/>
    </i>
    <i r="1">
      <x v="4"/>
      <x/>
    </i>
    <i r="1">
      <x v="5"/>
      <x v="38"/>
    </i>
    <i r="1">
      <x v="6"/>
      <x v="2"/>
    </i>
    <i r="1">
      <x v="7"/>
      <x v="51"/>
    </i>
    <i r="1">
      <x v="8"/>
      <x v="36"/>
    </i>
    <i r="1">
      <x v="9"/>
      <x v="52"/>
    </i>
    <i r="1">
      <x v="10"/>
      <x v="43"/>
    </i>
    <i r="1">
      <x v="11"/>
      <x v="37"/>
    </i>
    <i r="1">
      <x v="12"/>
      <x v="15"/>
    </i>
    <i r="1">
      <x v="13"/>
      <x v="44"/>
    </i>
    <i r="1">
      <x v="14"/>
      <x v="35"/>
    </i>
    <i r="1">
      <x v="15"/>
      <x v="40"/>
    </i>
    <i r="1">
      <x v="16"/>
      <x v="49"/>
    </i>
    <i r="1">
      <x v="17"/>
      <x v="54"/>
    </i>
    <i r="1">
      <x v="18"/>
      <x v="32"/>
    </i>
    <i r="1">
      <x v="19"/>
      <x v="33"/>
    </i>
    <i t="blank">
      <x/>
    </i>
    <i>
      <x v="1"/>
    </i>
    <i r="1">
      <x/>
      <x v="41"/>
    </i>
    <i r="1">
      <x v="1"/>
      <x v="48"/>
    </i>
    <i r="1">
      <x v="2"/>
      <x v="46"/>
    </i>
    <i r="1">
      <x v="3"/>
      <x/>
    </i>
    <i r="1">
      <x v="4"/>
      <x v="38"/>
    </i>
    <i r="1">
      <x v="5"/>
      <x v="1"/>
    </i>
    <i r="1">
      <x v="6"/>
      <x v="51"/>
    </i>
    <i r="1">
      <x v="7"/>
      <x v="43"/>
    </i>
    <i r="1">
      <x v="8"/>
      <x v="52"/>
    </i>
    <i r="1">
      <x v="9"/>
      <x v="2"/>
    </i>
    <i r="1">
      <x v="10"/>
      <x v="36"/>
    </i>
    <i r="1">
      <x v="11"/>
      <x v="44"/>
    </i>
    <i r="1">
      <x v="12"/>
      <x v="40"/>
    </i>
    <i r="1">
      <x v="13"/>
      <x v="35"/>
    </i>
    <i r="1">
      <x v="14"/>
      <x v="37"/>
    </i>
    <i r="1">
      <x v="15"/>
      <x v="53"/>
    </i>
    <i r="1">
      <x v="16"/>
      <x v="33"/>
    </i>
    <i r="1">
      <x v="17"/>
      <x v="34"/>
    </i>
    <i r="1">
      <x v="18"/>
      <x v="49"/>
    </i>
    <i r="1">
      <x v="19"/>
      <x v="56"/>
    </i>
    <i t="blank">
      <x v="1"/>
    </i>
    <i>
      <x v="2"/>
    </i>
    <i r="1">
      <x/>
      <x v="1"/>
    </i>
    <i r="1">
      <x v="1"/>
      <x/>
    </i>
    <i r="1">
      <x v="2"/>
      <x v="41"/>
    </i>
    <i r="1">
      <x v="3"/>
      <x v="48"/>
    </i>
    <i r="1">
      <x v="4"/>
      <x v="2"/>
    </i>
    <i r="1">
      <x v="5"/>
      <x v="38"/>
    </i>
    <i r="1">
      <x v="6"/>
      <x v="51"/>
    </i>
    <i r="1">
      <x v="7"/>
      <x v="46"/>
    </i>
    <i r="1">
      <x v="8"/>
      <x v="37"/>
    </i>
    <i r="1">
      <x v="9"/>
      <x v="43"/>
    </i>
    <i r="1">
      <x v="10"/>
      <x v="52"/>
    </i>
    <i r="1">
      <x v="11"/>
      <x v="53"/>
    </i>
    <i r="1">
      <x v="12"/>
      <x v="15"/>
    </i>
    <i r="2">
      <x v="36"/>
    </i>
    <i r="2">
      <x v="44"/>
    </i>
    <i r="1">
      <x v="15"/>
      <x v="34"/>
    </i>
    <i r="1">
      <x v="16"/>
      <x v="17"/>
    </i>
    <i r="2">
      <x v="54"/>
    </i>
    <i r="1">
      <x v="18"/>
      <x v="40"/>
    </i>
    <i r="1">
      <x v="19"/>
      <x v="56"/>
    </i>
    <i t="blank">
      <x v="2"/>
    </i>
    <i>
      <x v="3"/>
    </i>
    <i r="1">
      <x/>
      <x v="41"/>
    </i>
    <i r="1">
      <x v="1"/>
      <x v="48"/>
    </i>
    <i r="1">
      <x v="2"/>
      <x v="46"/>
    </i>
    <i r="1">
      <x v="3"/>
      <x/>
    </i>
    <i r="1">
      <x v="4"/>
      <x v="38"/>
    </i>
    <i r="1">
      <x v="5"/>
      <x v="51"/>
    </i>
    <i r="1">
      <x v="6"/>
      <x v="52"/>
    </i>
    <i r="1">
      <x v="7"/>
      <x v="1"/>
    </i>
    <i r="1">
      <x v="8"/>
      <x v="2"/>
    </i>
    <i r="2">
      <x v="43"/>
    </i>
    <i r="1">
      <x v="10"/>
      <x v="36"/>
    </i>
    <i r="1">
      <x v="11"/>
      <x v="31"/>
    </i>
    <i r="1">
      <x v="12"/>
      <x v="44"/>
    </i>
    <i r="1">
      <x v="13"/>
      <x v="33"/>
    </i>
    <i r="2">
      <x v="40"/>
    </i>
    <i r="1">
      <x v="15"/>
      <x v="34"/>
    </i>
    <i r="1">
      <x v="16"/>
      <x v="35"/>
    </i>
    <i r="1">
      <x v="17"/>
      <x v="37"/>
    </i>
    <i r="1">
      <x v="18"/>
      <x v="53"/>
    </i>
    <i r="1">
      <x v="19"/>
      <x v="49"/>
    </i>
    <i t="blank">
      <x v="3"/>
    </i>
    <i>
      <x v="4"/>
    </i>
    <i r="1">
      <x/>
      <x v="41"/>
    </i>
    <i r="1">
      <x v="1"/>
      <x v="46"/>
    </i>
    <i r="1">
      <x v="2"/>
      <x v="48"/>
    </i>
    <i r="1">
      <x v="3"/>
      <x v="38"/>
    </i>
    <i r="1">
      <x v="4"/>
      <x v="43"/>
    </i>
    <i r="1">
      <x v="5"/>
      <x v="35"/>
    </i>
    <i r="2">
      <x v="51"/>
    </i>
    <i r="1">
      <x v="7"/>
      <x v="36"/>
    </i>
    <i r="1">
      <x v="8"/>
      <x v="52"/>
    </i>
    <i r="1">
      <x v="9"/>
      <x/>
    </i>
    <i r="1">
      <x v="10"/>
      <x v="44"/>
    </i>
    <i r="1">
      <x v="11"/>
      <x v="40"/>
    </i>
    <i r="1">
      <x v="12"/>
      <x v="1"/>
    </i>
    <i r="1">
      <x v="13"/>
      <x v="2"/>
    </i>
    <i r="1">
      <x v="14"/>
      <x v="33"/>
    </i>
    <i r="1">
      <x v="15"/>
      <x v="56"/>
    </i>
    <i r="1">
      <x v="16"/>
      <x v="32"/>
    </i>
    <i r="1">
      <x v="17"/>
      <x v="37"/>
    </i>
    <i r="1">
      <x v="18"/>
      <x v="49"/>
    </i>
    <i r="2">
      <x v="53"/>
    </i>
    <i t="blank">
      <x v="4"/>
    </i>
    <i>
      <x v="5"/>
    </i>
    <i r="1">
      <x/>
      <x v="48"/>
    </i>
    <i r="1">
      <x v="1"/>
      <x v="41"/>
    </i>
    <i r="1">
      <x v="2"/>
      <x v="46"/>
    </i>
    <i r="1">
      <x v="3"/>
      <x/>
    </i>
    <i r="1">
      <x v="4"/>
      <x v="1"/>
    </i>
    <i r="2">
      <x v="2"/>
    </i>
    <i r="1">
      <x v="6"/>
      <x v="51"/>
    </i>
    <i r="1">
      <x v="7"/>
      <x v="38"/>
    </i>
    <i r="1">
      <x v="8"/>
      <x v="52"/>
    </i>
    <i r="1">
      <x v="9"/>
      <x v="43"/>
    </i>
    <i r="1">
      <x v="10"/>
      <x v="44"/>
    </i>
    <i r="1">
      <x v="11"/>
      <x v="36"/>
    </i>
    <i r="1">
      <x v="12"/>
      <x v="40"/>
    </i>
    <i r="1">
      <x v="13"/>
      <x v="37"/>
    </i>
    <i r="1">
      <x v="14"/>
      <x v="33"/>
    </i>
    <i r="1">
      <x v="15"/>
      <x v="34"/>
    </i>
    <i r="1">
      <x v="16"/>
      <x v="53"/>
    </i>
    <i r="1">
      <x v="17"/>
      <x v="39"/>
    </i>
    <i r="1">
      <x v="18"/>
      <x v="49"/>
    </i>
    <i r="1">
      <x v="19"/>
      <x v="32"/>
    </i>
    <i t="blank">
      <x v="5"/>
    </i>
    <i>
      <x v="6"/>
    </i>
    <i r="1">
      <x/>
      <x v="48"/>
    </i>
    <i r="1">
      <x v="1"/>
      <x v="41"/>
    </i>
    <i r="1">
      <x v="2"/>
      <x v="46"/>
    </i>
    <i r="1">
      <x v="3"/>
      <x v="43"/>
    </i>
    <i r="1">
      <x v="4"/>
      <x v="38"/>
    </i>
    <i r="1">
      <x v="5"/>
      <x/>
    </i>
    <i r="1">
      <x v="6"/>
      <x v="52"/>
    </i>
    <i r="1">
      <x v="7"/>
      <x v="51"/>
    </i>
    <i r="1">
      <x v="8"/>
      <x v="1"/>
    </i>
    <i r="1">
      <x v="9"/>
      <x v="2"/>
    </i>
    <i r="2">
      <x v="36"/>
    </i>
    <i r="1">
      <x v="11"/>
      <x v="44"/>
    </i>
    <i r="1">
      <x v="12"/>
      <x v="53"/>
    </i>
    <i r="1">
      <x v="13"/>
      <x v="40"/>
    </i>
    <i r="1">
      <x v="14"/>
      <x v="49"/>
    </i>
    <i r="1">
      <x v="15"/>
      <x v="33"/>
    </i>
    <i r="1">
      <x v="16"/>
      <x v="34"/>
    </i>
    <i r="2">
      <x v="56"/>
    </i>
    <i r="1">
      <x v="18"/>
      <x v="37"/>
    </i>
    <i r="1">
      <x v="19"/>
      <x v="32"/>
    </i>
    <i t="blank">
      <x v="6"/>
    </i>
    <i>
      <x v="7"/>
    </i>
    <i r="1">
      <x/>
      <x v="41"/>
    </i>
    <i r="1">
      <x v="1"/>
      <x v="48"/>
    </i>
    <i r="1">
      <x v="2"/>
      <x v="46"/>
    </i>
    <i r="1">
      <x v="3"/>
      <x v="1"/>
    </i>
    <i r="1">
      <x v="4"/>
      <x/>
    </i>
    <i r="1">
      <x v="5"/>
      <x v="2"/>
    </i>
    <i r="1">
      <x v="6"/>
      <x v="51"/>
    </i>
    <i r="1">
      <x v="7"/>
      <x v="38"/>
    </i>
    <i r="1">
      <x v="8"/>
      <x v="43"/>
    </i>
    <i r="1">
      <x v="9"/>
      <x v="36"/>
    </i>
    <i r="2">
      <x v="44"/>
    </i>
    <i r="2">
      <x v="52"/>
    </i>
    <i r="1">
      <x v="12"/>
      <x v="15"/>
    </i>
    <i r="1">
      <x v="13"/>
      <x v="37"/>
    </i>
    <i r="1">
      <x v="14"/>
      <x v="31"/>
    </i>
    <i r="1">
      <x v="15"/>
      <x v="53"/>
    </i>
    <i r="1">
      <x v="16"/>
      <x v="33"/>
    </i>
    <i r="1">
      <x v="17"/>
      <x v="32"/>
    </i>
    <i r="2">
      <x v="34"/>
    </i>
    <i r="2">
      <x v="49"/>
    </i>
    <i t="blank">
      <x v="7"/>
    </i>
    <i>
      <x v="8"/>
    </i>
    <i r="1">
      <x/>
      <x v="41"/>
    </i>
    <i r="1">
      <x v="1"/>
      <x v="46"/>
    </i>
    <i r="1">
      <x v="2"/>
      <x v="48"/>
    </i>
    <i r="1">
      <x v="3"/>
      <x v="43"/>
    </i>
    <i r="1">
      <x v="4"/>
      <x v="38"/>
    </i>
    <i r="1">
      <x v="5"/>
      <x v="52"/>
    </i>
    <i r="1">
      <x v="6"/>
      <x v="51"/>
    </i>
    <i r="1">
      <x v="7"/>
      <x v="36"/>
    </i>
    <i r="1">
      <x v="8"/>
      <x v="35"/>
    </i>
    <i r="1">
      <x v="9"/>
      <x v="40"/>
    </i>
    <i r="1">
      <x v="10"/>
      <x v="44"/>
    </i>
    <i r="1">
      <x v="11"/>
      <x/>
    </i>
    <i r="1">
      <x v="12"/>
      <x v="53"/>
    </i>
    <i r="1">
      <x v="13"/>
      <x v="56"/>
    </i>
    <i r="1">
      <x v="14"/>
      <x v="1"/>
    </i>
    <i r="1">
      <x v="15"/>
      <x v="2"/>
    </i>
    <i r="1">
      <x v="16"/>
      <x v="34"/>
    </i>
    <i r="2">
      <x v="39"/>
    </i>
    <i r="1">
      <x v="18"/>
      <x v="49"/>
    </i>
    <i r="1">
      <x v="19"/>
      <x v="26"/>
    </i>
    <i r="2">
      <x v="37"/>
    </i>
    <i r="2">
      <x v="50"/>
    </i>
    <i t="blank">
      <x v="8"/>
    </i>
    <i>
      <x v="9"/>
    </i>
    <i r="1">
      <x/>
      <x v="41"/>
    </i>
    <i r="1">
      <x v="1"/>
      <x v="48"/>
    </i>
    <i r="1">
      <x v="2"/>
      <x v="46"/>
    </i>
    <i r="1">
      <x v="3"/>
      <x v="51"/>
    </i>
    <i r="1">
      <x v="4"/>
      <x/>
    </i>
    <i r="1">
      <x v="5"/>
      <x v="43"/>
    </i>
    <i r="1">
      <x v="6"/>
      <x v="52"/>
    </i>
    <i r="1">
      <x v="7"/>
      <x v="2"/>
    </i>
    <i r="1">
      <x v="8"/>
      <x v="1"/>
    </i>
    <i r="1">
      <x v="9"/>
      <x v="38"/>
    </i>
    <i r="1">
      <x v="10"/>
      <x v="44"/>
    </i>
    <i r="1">
      <x v="11"/>
      <x v="40"/>
    </i>
    <i r="1">
      <x v="12"/>
      <x v="36"/>
    </i>
    <i r="1">
      <x v="13"/>
      <x v="33"/>
    </i>
    <i r="2">
      <x v="49"/>
    </i>
    <i r="1">
      <x v="15"/>
      <x v="34"/>
    </i>
    <i r="2">
      <x v="53"/>
    </i>
    <i r="1">
      <x v="17"/>
      <x v="56"/>
    </i>
    <i r="1">
      <x v="18"/>
      <x v="26"/>
    </i>
    <i r="1">
      <x v="19"/>
      <x v="15"/>
    </i>
    <i r="2">
      <x v="37"/>
    </i>
    <i t="blank">
      <x v="9"/>
    </i>
    <i>
      <x v="10"/>
    </i>
    <i r="1">
      <x/>
      <x v="41"/>
    </i>
    <i r="1">
      <x v="1"/>
      <x v="48"/>
    </i>
    <i r="1">
      <x v="2"/>
      <x/>
    </i>
    <i r="1">
      <x v="3"/>
      <x v="1"/>
    </i>
    <i r="1">
      <x v="4"/>
      <x v="2"/>
    </i>
    <i r="2">
      <x v="46"/>
    </i>
    <i r="1">
      <x v="6"/>
      <x v="51"/>
    </i>
    <i r="1">
      <x v="7"/>
      <x v="38"/>
    </i>
    <i r="1">
      <x v="8"/>
      <x v="52"/>
    </i>
    <i r="1">
      <x v="9"/>
      <x v="43"/>
    </i>
    <i r="1">
      <x v="10"/>
      <x v="40"/>
    </i>
    <i r="1">
      <x v="11"/>
      <x v="44"/>
    </i>
    <i r="1">
      <x v="12"/>
      <x v="34"/>
    </i>
    <i r="1">
      <x v="13"/>
      <x v="37"/>
    </i>
    <i r="1">
      <x v="14"/>
      <x v="35"/>
    </i>
    <i r="1">
      <x v="15"/>
      <x v="36"/>
    </i>
    <i r="2">
      <x v="53"/>
    </i>
    <i r="1">
      <x v="17"/>
      <x v="23"/>
    </i>
    <i r="1">
      <x v="18"/>
      <x v="15"/>
    </i>
    <i r="2">
      <x v="49"/>
    </i>
    <i t="blank">
      <x v="10"/>
    </i>
    <i>
      <x v="11"/>
    </i>
    <i r="1">
      <x/>
      <x v="48"/>
    </i>
    <i r="1">
      <x v="1"/>
      <x v="1"/>
    </i>
    <i r="1">
      <x v="2"/>
      <x v="41"/>
    </i>
    <i r="1">
      <x v="3"/>
      <x/>
    </i>
    <i r="1">
      <x v="4"/>
      <x v="46"/>
    </i>
    <i r="1">
      <x v="5"/>
      <x v="38"/>
    </i>
    <i r="1">
      <x v="6"/>
      <x v="2"/>
    </i>
    <i r="1">
      <x v="7"/>
      <x v="15"/>
    </i>
    <i r="1">
      <x v="8"/>
      <x v="37"/>
    </i>
    <i r="1">
      <x v="9"/>
      <x v="36"/>
    </i>
    <i r="1">
      <x v="10"/>
      <x v="52"/>
    </i>
    <i r="1">
      <x v="11"/>
      <x v="17"/>
    </i>
    <i r="1">
      <x v="12"/>
      <x v="23"/>
    </i>
    <i r="1">
      <x v="13"/>
      <x v="51"/>
    </i>
    <i r="1">
      <x v="14"/>
      <x v="43"/>
    </i>
    <i r="1">
      <x v="15"/>
      <x v="33"/>
    </i>
    <i r="1">
      <x v="16"/>
      <x v="54"/>
    </i>
    <i r="1">
      <x v="17"/>
      <x v="34"/>
    </i>
    <i r="2">
      <x v="44"/>
    </i>
    <i r="1">
      <x v="19"/>
      <x v="53"/>
    </i>
    <i t="blank">
      <x v="11"/>
    </i>
    <i>
      <x v="12"/>
    </i>
    <i r="1">
      <x/>
      <x v="48"/>
    </i>
    <i r="1">
      <x v="1"/>
      <x v="46"/>
    </i>
    <i r="1">
      <x v="2"/>
      <x v="41"/>
    </i>
    <i r="1">
      <x v="3"/>
      <x v="1"/>
    </i>
    <i r="1">
      <x v="4"/>
      <x/>
    </i>
    <i r="1">
      <x v="5"/>
      <x v="38"/>
    </i>
    <i r="1">
      <x v="6"/>
      <x v="36"/>
    </i>
    <i r="1">
      <x v="7"/>
      <x v="2"/>
    </i>
    <i r="1">
      <x v="8"/>
      <x v="52"/>
    </i>
    <i r="1">
      <x v="9"/>
      <x v="51"/>
    </i>
    <i r="1">
      <x v="10"/>
      <x v="43"/>
    </i>
    <i r="1">
      <x v="11"/>
      <x v="37"/>
    </i>
    <i r="1">
      <x v="12"/>
      <x v="35"/>
    </i>
    <i r="1">
      <x v="13"/>
      <x v="44"/>
    </i>
    <i r="1">
      <x v="14"/>
      <x v="40"/>
    </i>
    <i r="1">
      <x v="15"/>
      <x v="49"/>
    </i>
    <i r="1">
      <x v="16"/>
      <x v="15"/>
    </i>
    <i r="1">
      <x v="17"/>
      <x v="56"/>
    </i>
    <i r="1">
      <x v="18"/>
      <x v="54"/>
    </i>
    <i r="1">
      <x v="19"/>
      <x v="33"/>
    </i>
    <i t="blank">
      <x v="12"/>
    </i>
    <i>
      <x v="13"/>
    </i>
    <i r="1">
      <x/>
      <x v="46"/>
    </i>
    <i r="1">
      <x v="1"/>
      <x v="48"/>
    </i>
    <i r="1">
      <x v="2"/>
      <x/>
    </i>
    <i r="1">
      <x v="3"/>
      <x v="38"/>
    </i>
    <i r="1">
      <x v="4"/>
      <x v="41"/>
    </i>
    <i r="1">
      <x v="5"/>
      <x v="1"/>
    </i>
    <i r="1">
      <x v="6"/>
      <x v="51"/>
    </i>
    <i r="1">
      <x v="7"/>
      <x v="36"/>
    </i>
    <i r="1">
      <x v="8"/>
      <x v="37"/>
    </i>
    <i r="1">
      <x v="9"/>
      <x v="52"/>
    </i>
    <i r="1">
      <x v="10"/>
      <x v="2"/>
    </i>
    <i r="1">
      <x v="11"/>
      <x v="43"/>
    </i>
    <i r="1">
      <x v="12"/>
      <x v="54"/>
    </i>
    <i r="1">
      <x v="13"/>
      <x v="35"/>
    </i>
    <i r="1">
      <x v="14"/>
      <x v="44"/>
    </i>
    <i r="1">
      <x v="15"/>
      <x v="33"/>
    </i>
    <i r="1">
      <x v="16"/>
      <x v="32"/>
    </i>
    <i r="1">
      <x v="17"/>
      <x v="34"/>
    </i>
    <i r="1">
      <x v="18"/>
      <x v="49"/>
    </i>
    <i r="1">
      <x v="19"/>
      <x v="40"/>
    </i>
    <i t="blank">
      <x v="13"/>
    </i>
    <i>
      <x v="14"/>
    </i>
    <i r="1">
      <x/>
      <x v="41"/>
    </i>
    <i r="1">
      <x v="1"/>
      <x v="48"/>
    </i>
    <i r="1">
      <x v="2"/>
      <x v="46"/>
    </i>
    <i r="1">
      <x v="3"/>
      <x v="1"/>
    </i>
    <i r="1">
      <x v="4"/>
      <x/>
    </i>
    <i r="1">
      <x v="5"/>
      <x v="2"/>
    </i>
    <i r="1">
      <x v="6"/>
      <x v="15"/>
    </i>
    <i r="1">
      <x v="7"/>
      <x v="38"/>
    </i>
    <i r="1">
      <x v="8"/>
      <x v="17"/>
    </i>
    <i r="1">
      <x v="9"/>
      <x v="52"/>
    </i>
    <i r="1">
      <x v="10"/>
      <x v="51"/>
    </i>
    <i r="1">
      <x v="11"/>
      <x v="36"/>
    </i>
    <i r="1">
      <x v="12"/>
      <x v="43"/>
    </i>
    <i r="1">
      <x v="13"/>
      <x v="37"/>
    </i>
    <i r="1">
      <x v="14"/>
      <x v="23"/>
    </i>
    <i r="1">
      <x v="15"/>
      <x v="16"/>
    </i>
    <i r="1">
      <x v="16"/>
      <x v="33"/>
    </i>
    <i r="1">
      <x v="17"/>
      <x v="40"/>
    </i>
    <i r="1">
      <x v="18"/>
      <x v="32"/>
    </i>
    <i r="1">
      <x v="19"/>
      <x v="34"/>
    </i>
    <i r="2">
      <x v="44"/>
    </i>
    <i t="blank">
      <x v="14"/>
    </i>
    <i>
      <x v="15"/>
    </i>
    <i r="1">
      <x/>
      <x v="48"/>
    </i>
    <i r="1">
      <x v="1"/>
      <x v="46"/>
    </i>
    <i r="1">
      <x v="2"/>
      <x v="1"/>
    </i>
    <i r="1">
      <x v="3"/>
      <x v="38"/>
    </i>
    <i r="1">
      <x v="4"/>
      <x/>
    </i>
    <i r="1">
      <x v="5"/>
      <x v="41"/>
    </i>
    <i r="1">
      <x v="6"/>
      <x v="36"/>
    </i>
    <i r="1">
      <x v="7"/>
      <x v="37"/>
    </i>
    <i r="1">
      <x v="8"/>
      <x v="51"/>
    </i>
    <i r="1">
      <x v="9"/>
      <x v="2"/>
    </i>
    <i r="1">
      <x v="10"/>
      <x v="4"/>
    </i>
    <i r="1">
      <x v="11"/>
      <x v="52"/>
    </i>
    <i r="1">
      <x v="12"/>
      <x v="54"/>
    </i>
    <i r="1">
      <x v="13"/>
      <x v="44"/>
    </i>
    <i r="1">
      <x v="14"/>
      <x v="32"/>
    </i>
    <i r="1">
      <x v="15"/>
      <x v="35"/>
    </i>
    <i r="2">
      <x v="43"/>
    </i>
    <i r="1">
      <x v="17"/>
      <x v="53"/>
    </i>
    <i r="1">
      <x v="18"/>
      <x v="49"/>
    </i>
    <i r="1">
      <x v="19"/>
      <x v="9"/>
    </i>
    <i r="2">
      <x v="33"/>
    </i>
    <i r="2">
      <x v="34"/>
    </i>
    <i r="2">
      <x v="40"/>
    </i>
    <i t="blank">
      <x v="15"/>
    </i>
    <i>
      <x v="16"/>
    </i>
    <i r="1">
      <x/>
      <x v="46"/>
    </i>
    <i r="1">
      <x v="1"/>
      <x v="48"/>
    </i>
    <i r="1">
      <x v="2"/>
      <x/>
    </i>
    <i r="1">
      <x v="3"/>
      <x v="38"/>
    </i>
    <i r="1">
      <x v="4"/>
      <x v="41"/>
    </i>
    <i r="1">
      <x v="5"/>
      <x v="36"/>
    </i>
    <i r="1">
      <x v="6"/>
      <x v="1"/>
    </i>
    <i r="1">
      <x v="7"/>
      <x v="51"/>
    </i>
    <i r="1">
      <x v="8"/>
      <x v="37"/>
    </i>
    <i r="1">
      <x v="9"/>
      <x v="52"/>
    </i>
    <i r="1">
      <x v="10"/>
      <x v="43"/>
    </i>
    <i r="1">
      <x v="11"/>
      <x v="2"/>
    </i>
    <i r="1">
      <x v="12"/>
      <x v="35"/>
    </i>
    <i r="1">
      <x v="13"/>
      <x v="53"/>
    </i>
    <i r="1">
      <x v="14"/>
      <x v="54"/>
    </i>
    <i r="1">
      <x v="15"/>
      <x v="44"/>
    </i>
    <i r="1">
      <x v="16"/>
      <x v="32"/>
    </i>
    <i r="1">
      <x v="17"/>
      <x v="15"/>
    </i>
    <i r="1">
      <x v="18"/>
      <x v="40"/>
    </i>
    <i r="2">
      <x v="49"/>
    </i>
    <i t="blank">
      <x v="16"/>
    </i>
    <i>
      <x v="17"/>
    </i>
    <i r="1">
      <x/>
      <x v="48"/>
    </i>
    <i r="1">
      <x v="1"/>
      <x v="41"/>
    </i>
    <i r="1">
      <x v="2"/>
      <x v="46"/>
    </i>
    <i r="1">
      <x v="3"/>
      <x v="1"/>
    </i>
    <i r="1">
      <x v="4"/>
      <x/>
    </i>
    <i r="1">
      <x v="5"/>
      <x v="38"/>
    </i>
    <i r="1">
      <x v="6"/>
      <x v="52"/>
    </i>
    <i r="1">
      <x v="7"/>
      <x v="51"/>
    </i>
    <i r="1">
      <x v="8"/>
      <x v="43"/>
    </i>
    <i r="1">
      <x v="9"/>
      <x v="36"/>
    </i>
    <i r="1">
      <x v="10"/>
      <x v="2"/>
    </i>
    <i r="1">
      <x v="11"/>
      <x v="37"/>
    </i>
    <i r="1">
      <x v="12"/>
      <x v="44"/>
    </i>
    <i r="1">
      <x v="13"/>
      <x v="40"/>
    </i>
    <i r="1">
      <x v="14"/>
      <x v="35"/>
    </i>
    <i r="1">
      <x v="15"/>
      <x v="49"/>
    </i>
    <i r="1">
      <x v="16"/>
      <x v="15"/>
    </i>
    <i r="1">
      <x v="17"/>
      <x v="33"/>
    </i>
    <i r="1">
      <x v="18"/>
      <x v="32"/>
    </i>
    <i r="1">
      <x v="19"/>
      <x v="34"/>
    </i>
    <i r="2">
      <x v="56"/>
    </i>
    <i t="blank">
      <x v="17"/>
    </i>
    <i>
      <x v="18"/>
    </i>
    <i r="1">
      <x/>
      <x v="46"/>
    </i>
    <i r="1">
      <x v="1"/>
      <x v="48"/>
    </i>
    <i r="1">
      <x v="2"/>
      <x/>
    </i>
    <i r="1">
      <x v="3"/>
      <x v="41"/>
    </i>
    <i r="1">
      <x v="4"/>
      <x v="1"/>
    </i>
    <i r="1">
      <x v="5"/>
      <x v="36"/>
    </i>
    <i r="1">
      <x v="6"/>
      <x v="38"/>
    </i>
    <i r="1">
      <x v="7"/>
      <x v="51"/>
    </i>
    <i r="1">
      <x v="8"/>
      <x v="52"/>
    </i>
    <i r="1">
      <x v="9"/>
      <x v="2"/>
    </i>
    <i r="1">
      <x v="10"/>
      <x v="37"/>
    </i>
    <i r="1">
      <x v="11"/>
      <x v="43"/>
    </i>
    <i r="1">
      <x v="12"/>
      <x v="53"/>
    </i>
    <i r="1">
      <x v="13"/>
      <x v="35"/>
    </i>
    <i r="1">
      <x v="14"/>
      <x v="44"/>
    </i>
    <i r="1">
      <x v="15"/>
      <x v="54"/>
    </i>
    <i r="1">
      <x v="16"/>
      <x v="49"/>
    </i>
    <i r="1">
      <x v="17"/>
      <x v="40"/>
    </i>
    <i r="1">
      <x v="18"/>
      <x v="6"/>
    </i>
    <i r="1">
      <x v="19"/>
      <x v="5"/>
    </i>
    <i r="2">
      <x v="15"/>
    </i>
    <i t="blank">
      <x v="18"/>
    </i>
    <i>
      <x v="19"/>
    </i>
    <i r="1">
      <x/>
      <x v="48"/>
    </i>
    <i r="1">
      <x v="1"/>
      <x v="46"/>
    </i>
    <i r="1">
      <x v="2"/>
      <x/>
    </i>
    <i r="1">
      <x v="3"/>
      <x v="38"/>
    </i>
    <i r="1">
      <x v="4"/>
      <x v="1"/>
    </i>
    <i r="1">
      <x v="5"/>
      <x v="2"/>
    </i>
    <i r="1">
      <x v="6"/>
      <x v="36"/>
    </i>
    <i r="1">
      <x v="7"/>
      <x v="41"/>
    </i>
    <i r="1">
      <x v="8"/>
      <x v="51"/>
    </i>
    <i r="1">
      <x v="9"/>
      <x v="37"/>
    </i>
    <i r="1">
      <x v="10"/>
      <x v="52"/>
    </i>
    <i r="1">
      <x v="11"/>
      <x v="54"/>
    </i>
    <i r="1">
      <x v="12"/>
      <x v="15"/>
    </i>
    <i r="1">
      <x v="13"/>
      <x v="43"/>
    </i>
    <i r="1">
      <x v="14"/>
      <x v="35"/>
    </i>
    <i r="2">
      <x v="49"/>
    </i>
    <i r="1">
      <x v="16"/>
      <x v="44"/>
    </i>
    <i r="1">
      <x v="17"/>
      <x v="32"/>
    </i>
    <i r="1">
      <x v="18"/>
      <x v="4"/>
    </i>
    <i r="2">
      <x v="34"/>
    </i>
    <i t="blank">
      <x v="19"/>
    </i>
    <i>
      <x v="20"/>
    </i>
    <i r="1">
      <x/>
      <x v="46"/>
    </i>
    <i r="1">
      <x v="1"/>
      <x v="48"/>
    </i>
    <i r="1">
      <x v="2"/>
      <x v="38"/>
    </i>
    <i r="1">
      <x v="3"/>
      <x v="41"/>
    </i>
    <i r="1">
      <x v="4"/>
      <x v="36"/>
    </i>
    <i r="1">
      <x v="5"/>
      <x/>
    </i>
    <i r="1">
      <x v="6"/>
      <x v="1"/>
    </i>
    <i r="2">
      <x v="51"/>
    </i>
    <i r="1">
      <x v="8"/>
      <x v="52"/>
    </i>
    <i r="1">
      <x v="9"/>
      <x v="2"/>
    </i>
    <i r="1">
      <x v="10"/>
      <x v="43"/>
    </i>
    <i r="1">
      <x v="11"/>
      <x v="37"/>
    </i>
    <i r="1">
      <x v="12"/>
      <x v="35"/>
    </i>
    <i r="1">
      <x v="13"/>
      <x v="54"/>
    </i>
    <i r="1">
      <x v="14"/>
      <x v="44"/>
    </i>
    <i r="2">
      <x v="53"/>
    </i>
    <i r="1">
      <x v="16"/>
      <x v="32"/>
    </i>
    <i r="2">
      <x v="40"/>
    </i>
    <i r="1">
      <x v="18"/>
      <x v="49"/>
    </i>
    <i r="1">
      <x v="19"/>
      <x v="15"/>
    </i>
    <i t="blank">
      <x v="20"/>
    </i>
    <i>
      <x v="21"/>
    </i>
    <i r="1">
      <x/>
      <x v="46"/>
    </i>
    <i r="1">
      <x v="1"/>
      <x v="48"/>
    </i>
    <i r="1">
      <x v="2"/>
      <x v="38"/>
    </i>
    <i r="1">
      <x v="3"/>
      <x/>
    </i>
    <i r="1">
      <x v="4"/>
      <x v="1"/>
    </i>
    <i r="1">
      <x v="5"/>
      <x v="41"/>
    </i>
    <i r="1">
      <x v="6"/>
      <x v="52"/>
    </i>
    <i r="1">
      <x v="7"/>
      <x v="36"/>
    </i>
    <i r="2">
      <x v="51"/>
    </i>
    <i r="1">
      <x v="9"/>
      <x v="2"/>
    </i>
    <i r="1">
      <x v="10"/>
      <x v="37"/>
    </i>
    <i r="1">
      <x v="11"/>
      <x v="43"/>
    </i>
    <i r="1">
      <x v="12"/>
      <x v="44"/>
    </i>
    <i r="1">
      <x v="13"/>
      <x v="35"/>
    </i>
    <i r="1">
      <x v="14"/>
      <x v="54"/>
    </i>
    <i r="1">
      <x v="15"/>
      <x v="49"/>
    </i>
    <i r="1">
      <x v="16"/>
      <x v="53"/>
    </i>
    <i r="1">
      <x v="17"/>
      <x v="40"/>
    </i>
    <i r="1">
      <x v="18"/>
      <x v="32"/>
    </i>
    <i r="2">
      <x v="33"/>
    </i>
    <i t="blank">
      <x v="21"/>
    </i>
    <i>
      <x v="22"/>
    </i>
    <i r="1">
      <x/>
      <x v="48"/>
    </i>
    <i r="1">
      <x v="1"/>
      <x v="46"/>
    </i>
    <i r="1">
      <x v="2"/>
      <x v="41"/>
    </i>
    <i r="1">
      <x v="3"/>
      <x v="38"/>
    </i>
    <i r="1">
      <x v="4"/>
      <x/>
    </i>
    <i r="1">
      <x v="5"/>
      <x v="51"/>
    </i>
    <i r="1">
      <x v="6"/>
      <x v="1"/>
    </i>
    <i r="1">
      <x v="7"/>
      <x v="52"/>
    </i>
    <i r="1">
      <x v="8"/>
      <x v="36"/>
    </i>
    <i r="1">
      <x v="9"/>
      <x v="37"/>
    </i>
    <i r="1">
      <x v="10"/>
      <x v="43"/>
    </i>
    <i r="1">
      <x v="11"/>
      <x v="2"/>
    </i>
    <i r="1">
      <x v="12"/>
      <x v="49"/>
    </i>
    <i r="1">
      <x v="13"/>
      <x v="35"/>
    </i>
    <i r="2">
      <x v="44"/>
    </i>
    <i r="1">
      <x v="15"/>
      <x v="54"/>
    </i>
    <i r="1">
      <x v="16"/>
      <x v="40"/>
    </i>
    <i r="1">
      <x v="17"/>
      <x v="34"/>
    </i>
    <i r="1">
      <x v="18"/>
      <x v="15"/>
    </i>
    <i r="1">
      <x v="19"/>
      <x v="32"/>
    </i>
    <i r="2">
      <x v="33"/>
    </i>
    <i t="blank">
      <x v="22"/>
    </i>
    <i>
      <x v="23"/>
    </i>
    <i r="1">
      <x/>
      <x v="48"/>
    </i>
    <i r="1">
      <x v="1"/>
      <x v="46"/>
    </i>
    <i r="1">
      <x v="2"/>
      <x v="41"/>
    </i>
    <i r="1">
      <x v="3"/>
      <x/>
    </i>
    <i r="1">
      <x v="4"/>
      <x v="36"/>
    </i>
    <i r="1">
      <x v="5"/>
      <x v="38"/>
    </i>
    <i r="1">
      <x v="6"/>
      <x v="1"/>
    </i>
    <i r="1">
      <x v="7"/>
      <x v="2"/>
    </i>
    <i r="1">
      <x v="8"/>
      <x v="52"/>
    </i>
    <i r="1">
      <x v="9"/>
      <x v="51"/>
    </i>
    <i r="1">
      <x v="10"/>
      <x v="43"/>
    </i>
    <i r="1">
      <x v="11"/>
      <x v="37"/>
    </i>
    <i r="1">
      <x v="12"/>
      <x v="44"/>
    </i>
    <i r="1">
      <x v="13"/>
      <x v="35"/>
    </i>
    <i r="1">
      <x v="14"/>
      <x v="49"/>
    </i>
    <i r="1">
      <x v="15"/>
      <x v="53"/>
    </i>
    <i r="1">
      <x v="16"/>
      <x v="54"/>
    </i>
    <i r="1">
      <x v="17"/>
      <x v="32"/>
    </i>
    <i r="2">
      <x v="40"/>
    </i>
    <i r="1">
      <x v="19"/>
      <x v="33"/>
    </i>
    <i t="blank">
      <x v="23"/>
    </i>
    <i>
      <x v="24"/>
    </i>
    <i r="1">
      <x/>
      <x v="48"/>
    </i>
    <i r="1">
      <x v="1"/>
      <x v="46"/>
    </i>
    <i r="1">
      <x v="2"/>
      <x v="38"/>
    </i>
    <i r="1">
      <x v="3"/>
      <x/>
    </i>
    <i r="1">
      <x v="4"/>
      <x v="41"/>
    </i>
    <i r="1">
      <x v="5"/>
      <x v="4"/>
    </i>
    <i r="1">
      <x v="6"/>
      <x v="1"/>
    </i>
    <i r="1">
      <x v="7"/>
      <x v="37"/>
    </i>
    <i r="1">
      <x v="8"/>
      <x v="35"/>
    </i>
    <i r="1">
      <x v="9"/>
      <x v="36"/>
    </i>
    <i r="1">
      <x v="10"/>
      <x v="51"/>
    </i>
    <i r="1">
      <x v="11"/>
      <x v="52"/>
    </i>
    <i r="1">
      <x v="12"/>
      <x v="2"/>
    </i>
    <i r="1">
      <x v="13"/>
      <x v="15"/>
    </i>
    <i r="1">
      <x v="14"/>
      <x v="33"/>
    </i>
    <i r="1">
      <x v="15"/>
      <x v="43"/>
    </i>
    <i r="2">
      <x v="53"/>
    </i>
    <i r="1">
      <x v="17"/>
      <x v="49"/>
    </i>
    <i r="1">
      <x v="18"/>
      <x v="32"/>
    </i>
    <i r="2">
      <x v="44"/>
    </i>
    <i r="2">
      <x v="54"/>
    </i>
    <i t="blank">
      <x v="24"/>
    </i>
    <i>
      <x v="25"/>
    </i>
    <i r="1">
      <x/>
      <x v="48"/>
    </i>
    <i r="1">
      <x v="1"/>
      <x v="41"/>
    </i>
    <i r="1">
      <x v="2"/>
      <x v="46"/>
    </i>
    <i r="1">
      <x v="3"/>
      <x/>
    </i>
    <i r="1">
      <x v="4"/>
      <x v="38"/>
    </i>
    <i r="1">
      <x v="5"/>
      <x v="1"/>
    </i>
    <i r="1">
      <x v="6"/>
      <x v="36"/>
    </i>
    <i r="1">
      <x v="7"/>
      <x v="51"/>
    </i>
    <i r="1">
      <x v="8"/>
      <x v="52"/>
    </i>
    <i r="1">
      <x v="9"/>
      <x v="2"/>
    </i>
    <i r="1">
      <x v="10"/>
      <x v="37"/>
    </i>
    <i r="1">
      <x v="11"/>
      <x v="49"/>
    </i>
    <i r="2">
      <x v="53"/>
    </i>
    <i r="1">
      <x v="13"/>
      <x v="43"/>
    </i>
    <i r="1">
      <x v="14"/>
      <x v="44"/>
    </i>
    <i r="1">
      <x v="15"/>
      <x v="35"/>
    </i>
    <i r="1">
      <x v="16"/>
      <x v="54"/>
    </i>
    <i r="1">
      <x v="17"/>
      <x v="34"/>
    </i>
    <i r="1">
      <x v="18"/>
      <x v="33"/>
    </i>
    <i r="2">
      <x v="40"/>
    </i>
    <i t="blank">
      <x v="25"/>
    </i>
    <i>
      <x v="26"/>
    </i>
    <i r="1">
      <x/>
      <x v="48"/>
    </i>
    <i r="1">
      <x v="1"/>
      <x v="46"/>
    </i>
    <i r="1">
      <x v="2"/>
      <x/>
    </i>
    <i r="1">
      <x v="3"/>
      <x v="38"/>
    </i>
    <i r="1">
      <x v="4"/>
      <x v="41"/>
    </i>
    <i r="1">
      <x v="5"/>
      <x v="1"/>
    </i>
    <i r="1">
      <x v="6"/>
      <x v="2"/>
    </i>
    <i r="1">
      <x v="7"/>
      <x v="36"/>
    </i>
    <i r="1">
      <x v="8"/>
      <x v="52"/>
    </i>
    <i r="1">
      <x v="9"/>
      <x v="37"/>
    </i>
    <i r="2">
      <x v="51"/>
    </i>
    <i r="1">
      <x v="11"/>
      <x v="54"/>
    </i>
    <i r="1">
      <x v="12"/>
      <x v="4"/>
    </i>
    <i r="1">
      <x v="13"/>
      <x v="43"/>
    </i>
    <i r="1">
      <x v="14"/>
      <x v="35"/>
    </i>
    <i r="1">
      <x v="15"/>
      <x v="53"/>
    </i>
    <i r="1">
      <x v="16"/>
      <x v="44"/>
    </i>
    <i r="2">
      <x v="49"/>
    </i>
    <i r="1">
      <x v="18"/>
      <x v="32"/>
    </i>
    <i r="1">
      <x v="19"/>
      <x v="40"/>
    </i>
    <i t="blank">
      <x v="26"/>
    </i>
    <i>
      <x v="27"/>
    </i>
    <i r="1">
      <x/>
      <x v="41"/>
    </i>
    <i r="1">
      <x v="1"/>
      <x v="48"/>
    </i>
    <i r="1">
      <x v="2"/>
      <x v="46"/>
    </i>
    <i r="1">
      <x v="3"/>
      <x v="51"/>
    </i>
    <i r="1">
      <x v="4"/>
      <x v="1"/>
    </i>
    <i r="1">
      <x v="5"/>
      <x v="38"/>
    </i>
    <i r="1">
      <x v="6"/>
      <x/>
    </i>
    <i r="1">
      <x v="7"/>
      <x v="52"/>
    </i>
    <i r="1">
      <x v="8"/>
      <x v="2"/>
    </i>
    <i r="1">
      <x v="9"/>
      <x v="43"/>
    </i>
    <i r="1">
      <x v="10"/>
      <x v="36"/>
    </i>
    <i r="1">
      <x v="11"/>
      <x v="37"/>
    </i>
    <i r="1">
      <x v="12"/>
      <x v="44"/>
    </i>
    <i r="1">
      <x v="13"/>
      <x v="40"/>
    </i>
    <i r="1">
      <x v="14"/>
      <x v="49"/>
    </i>
    <i r="1">
      <x v="15"/>
      <x v="56"/>
    </i>
    <i r="1">
      <x v="16"/>
      <x v="35"/>
    </i>
    <i r="1">
      <x v="17"/>
      <x v="54"/>
    </i>
    <i r="1">
      <x v="18"/>
      <x v="33"/>
    </i>
    <i r="1">
      <x v="19"/>
      <x v="53"/>
    </i>
    <i t="blank">
      <x v="27"/>
    </i>
    <i>
      <x v="28"/>
    </i>
    <i r="1">
      <x/>
      <x v="46"/>
    </i>
    <i r="1">
      <x v="1"/>
      <x v="48"/>
    </i>
    <i r="1">
      <x v="2"/>
      <x v="41"/>
    </i>
    <i r="1">
      <x v="3"/>
      <x v="1"/>
    </i>
    <i r="1">
      <x v="4"/>
      <x/>
    </i>
    <i r="1">
      <x v="5"/>
      <x v="38"/>
    </i>
    <i r="1">
      <x v="6"/>
      <x v="2"/>
    </i>
    <i r="1">
      <x v="7"/>
      <x v="15"/>
    </i>
    <i r="1">
      <x v="8"/>
      <x v="51"/>
    </i>
    <i r="2">
      <x v="52"/>
    </i>
    <i r="1">
      <x v="10"/>
      <x v="36"/>
    </i>
    <i r="1">
      <x v="11"/>
      <x v="37"/>
    </i>
    <i r="1">
      <x v="12"/>
      <x v="43"/>
    </i>
    <i r="1">
      <x v="13"/>
      <x v="34"/>
    </i>
    <i r="1">
      <x v="14"/>
      <x v="44"/>
    </i>
    <i r="1">
      <x v="15"/>
      <x v="23"/>
    </i>
    <i r="1">
      <x v="16"/>
      <x v="35"/>
    </i>
    <i r="1">
      <x v="17"/>
      <x v="40"/>
    </i>
    <i r="1">
      <x v="18"/>
      <x v="49"/>
    </i>
    <i r="1">
      <x v="19"/>
      <x v="6"/>
    </i>
    <i t="blank">
      <x v="28"/>
    </i>
    <i>
      <x v="29"/>
    </i>
    <i r="1">
      <x/>
      <x v="48"/>
    </i>
    <i r="1">
      <x v="1"/>
      <x v="46"/>
    </i>
    <i r="1">
      <x v="2"/>
      <x v="41"/>
    </i>
    <i r="1">
      <x v="3"/>
      <x v="1"/>
    </i>
    <i r="1">
      <x v="4"/>
      <x v="38"/>
    </i>
    <i r="1">
      <x v="5"/>
      <x/>
    </i>
    <i r="1">
      <x v="6"/>
      <x v="51"/>
    </i>
    <i r="1">
      <x v="7"/>
      <x v="52"/>
    </i>
    <i r="1">
      <x v="8"/>
      <x v="2"/>
    </i>
    <i r="1">
      <x v="9"/>
      <x v="36"/>
    </i>
    <i r="1">
      <x v="10"/>
      <x v="35"/>
    </i>
    <i r="1">
      <x v="11"/>
      <x v="43"/>
    </i>
    <i r="1">
      <x v="12"/>
      <x v="37"/>
    </i>
    <i r="1">
      <x v="13"/>
      <x v="40"/>
    </i>
    <i r="1">
      <x v="14"/>
      <x v="15"/>
    </i>
    <i r="1">
      <x v="15"/>
      <x v="49"/>
    </i>
    <i r="1">
      <x v="16"/>
      <x v="44"/>
    </i>
    <i r="1">
      <x v="17"/>
      <x v="33"/>
    </i>
    <i r="1">
      <x v="18"/>
      <x v="34"/>
    </i>
    <i r="1">
      <x v="19"/>
      <x v="32"/>
    </i>
    <i t="blank">
      <x v="29"/>
    </i>
    <i>
      <x v="30"/>
    </i>
    <i r="1">
      <x/>
      <x v="41"/>
    </i>
    <i r="1">
      <x v="1"/>
      <x v="46"/>
    </i>
    <i r="1">
      <x v="2"/>
      <x v="48"/>
    </i>
    <i r="1">
      <x v="3"/>
      <x v="38"/>
    </i>
    <i r="1">
      <x v="4"/>
      <x v="1"/>
    </i>
    <i r="1">
      <x v="5"/>
      <x v="52"/>
    </i>
    <i r="1">
      <x v="6"/>
      <x v="36"/>
    </i>
    <i r="1">
      <x v="7"/>
      <x v="2"/>
    </i>
    <i r="1">
      <x v="8"/>
      <x v="51"/>
    </i>
    <i r="1">
      <x v="9"/>
      <x/>
    </i>
    <i r="1">
      <x v="10"/>
      <x v="35"/>
    </i>
    <i r="1">
      <x v="11"/>
      <x v="40"/>
    </i>
    <i r="2">
      <x v="43"/>
    </i>
    <i r="1">
      <x v="13"/>
      <x v="44"/>
    </i>
    <i r="1">
      <x v="14"/>
      <x v="37"/>
    </i>
    <i r="1">
      <x v="15"/>
      <x v="34"/>
    </i>
    <i r="2">
      <x v="49"/>
    </i>
    <i r="2">
      <x v="53"/>
    </i>
    <i r="1">
      <x v="18"/>
      <x v="32"/>
    </i>
    <i r="1">
      <x v="19"/>
      <x v="33"/>
    </i>
    <i r="2">
      <x v="39"/>
    </i>
    <i t="blank">
      <x v="30"/>
    </i>
    <i>
      <x v="31"/>
    </i>
    <i r="1">
      <x/>
      <x v="41"/>
    </i>
    <i r="1">
      <x v="1"/>
      <x v="48"/>
    </i>
    <i r="1">
      <x v="2"/>
      <x v="46"/>
    </i>
    <i r="1">
      <x v="3"/>
      <x v="1"/>
    </i>
    <i r="1">
      <x v="4"/>
      <x/>
    </i>
    <i r="1">
      <x v="5"/>
      <x v="2"/>
    </i>
    <i r="1">
      <x v="6"/>
      <x v="51"/>
    </i>
    <i r="1">
      <x v="7"/>
      <x v="15"/>
    </i>
    <i r="1">
      <x v="8"/>
      <x v="8"/>
    </i>
    <i r="1">
      <x v="9"/>
      <x v="38"/>
    </i>
    <i r="1">
      <x v="10"/>
      <x v="43"/>
    </i>
    <i r="2">
      <x v="52"/>
    </i>
    <i r="1">
      <x v="12"/>
      <x v="17"/>
    </i>
    <i r="1">
      <x v="13"/>
      <x v="37"/>
    </i>
    <i r="1">
      <x v="14"/>
      <x v="32"/>
    </i>
    <i r="1">
      <x v="15"/>
      <x v="36"/>
    </i>
    <i r="1">
      <x v="16"/>
      <x v="44"/>
    </i>
    <i r="1">
      <x v="17"/>
      <x v="56"/>
    </i>
    <i r="1">
      <x v="18"/>
      <x v="33"/>
    </i>
    <i r="2">
      <x v="40"/>
    </i>
    <i t="blank">
      <x v="31"/>
    </i>
    <i>
      <x v="32"/>
    </i>
    <i r="1">
      <x/>
      <x v="48"/>
    </i>
    <i r="1">
      <x v="1"/>
      <x v="46"/>
    </i>
    <i r="1">
      <x v="2"/>
      <x/>
    </i>
    <i r="1">
      <x v="3"/>
      <x v="1"/>
    </i>
    <i r="1">
      <x v="4"/>
      <x v="41"/>
    </i>
    <i r="1">
      <x v="5"/>
      <x v="36"/>
    </i>
    <i r="1">
      <x v="6"/>
      <x v="51"/>
    </i>
    <i r="1">
      <x v="7"/>
      <x v="38"/>
    </i>
    <i r="1">
      <x v="8"/>
      <x v="2"/>
    </i>
    <i r="1">
      <x v="9"/>
      <x v="52"/>
    </i>
    <i r="1">
      <x v="10"/>
      <x v="35"/>
    </i>
    <i r="2">
      <x v="37"/>
    </i>
    <i r="1">
      <x v="12"/>
      <x v="17"/>
    </i>
    <i r="2">
      <x v="44"/>
    </i>
    <i r="1">
      <x v="14"/>
      <x v="43"/>
    </i>
    <i r="1">
      <x v="15"/>
      <x v="15"/>
    </i>
    <i r="1">
      <x v="16"/>
      <x v="53"/>
    </i>
    <i r="1">
      <x v="17"/>
      <x v="32"/>
    </i>
    <i r="1">
      <x v="18"/>
      <x v="49"/>
    </i>
    <i r="1">
      <x v="19"/>
      <x v="33"/>
    </i>
    <i t="blank">
      <x v="32"/>
    </i>
    <i>
      <x v="33"/>
    </i>
    <i r="1">
      <x/>
      <x v="41"/>
    </i>
    <i r="1">
      <x v="1"/>
      <x v="46"/>
    </i>
    <i r="1">
      <x v="2"/>
      <x v="1"/>
    </i>
    <i r="1">
      <x v="3"/>
      <x v="48"/>
    </i>
    <i r="1">
      <x v="4"/>
      <x/>
    </i>
    <i r="1">
      <x v="5"/>
      <x v="2"/>
    </i>
    <i r="1">
      <x v="6"/>
      <x v="51"/>
    </i>
    <i r="1">
      <x v="7"/>
      <x v="52"/>
    </i>
    <i r="1">
      <x v="8"/>
      <x v="38"/>
    </i>
    <i r="1">
      <x v="9"/>
      <x v="36"/>
    </i>
    <i r="1">
      <x v="10"/>
      <x v="43"/>
    </i>
    <i r="1">
      <x v="11"/>
      <x v="15"/>
    </i>
    <i r="1">
      <x v="12"/>
      <x v="40"/>
    </i>
    <i r="1">
      <x v="13"/>
      <x v="53"/>
    </i>
    <i r="1">
      <x v="14"/>
      <x v="33"/>
    </i>
    <i r="1">
      <x v="15"/>
      <x v="37"/>
    </i>
    <i r="1">
      <x v="16"/>
      <x v="8"/>
    </i>
    <i r="1">
      <x v="17"/>
      <x v="54"/>
    </i>
    <i r="1">
      <x v="18"/>
      <x v="17"/>
    </i>
    <i r="2">
      <x v="32"/>
    </i>
    <i r="2">
      <x v="49"/>
    </i>
    <i r="2">
      <x v="56"/>
    </i>
    <i t="blank">
      <x v="33"/>
    </i>
    <i>
      <x v="34"/>
    </i>
    <i r="1">
      <x/>
      <x v="41"/>
    </i>
    <i r="1">
      <x v="1"/>
      <x v="48"/>
    </i>
    <i r="1">
      <x v="2"/>
      <x v="1"/>
    </i>
    <i r="1">
      <x v="3"/>
      <x v="46"/>
    </i>
    <i r="1">
      <x v="4"/>
      <x v="38"/>
    </i>
    <i r="1">
      <x v="5"/>
      <x/>
    </i>
    <i r="1">
      <x v="6"/>
      <x v="43"/>
    </i>
    <i r="1">
      <x v="7"/>
      <x v="36"/>
    </i>
    <i r="1">
      <x v="8"/>
      <x v="52"/>
    </i>
    <i r="1">
      <x v="9"/>
      <x v="2"/>
    </i>
    <i r="1">
      <x v="10"/>
      <x v="51"/>
    </i>
    <i r="1">
      <x v="11"/>
      <x v="35"/>
    </i>
    <i r="1">
      <x v="12"/>
      <x v="37"/>
    </i>
    <i r="1">
      <x v="13"/>
      <x v="40"/>
    </i>
    <i r="1">
      <x v="14"/>
      <x v="8"/>
    </i>
    <i r="1">
      <x v="15"/>
      <x v="44"/>
    </i>
    <i r="2">
      <x v="49"/>
    </i>
    <i r="1">
      <x v="17"/>
      <x v="54"/>
    </i>
    <i r="1">
      <x v="18"/>
      <x v="15"/>
    </i>
    <i r="2">
      <x v="23"/>
    </i>
    <i r="2">
      <x v="33"/>
    </i>
    <i r="2">
      <x v="53"/>
    </i>
    <i t="blank">
      <x v="34"/>
    </i>
    <i>
      <x v="35"/>
    </i>
    <i r="1">
      <x/>
      <x v="41"/>
    </i>
    <i r="1">
      <x v="1"/>
      <x v="1"/>
    </i>
    <i r="1">
      <x v="2"/>
      <x v="48"/>
    </i>
    <i r="1">
      <x v="3"/>
      <x v="2"/>
    </i>
    <i r="1">
      <x v="4"/>
      <x v="46"/>
    </i>
    <i r="1">
      <x v="5"/>
      <x/>
    </i>
    <i r="1">
      <x v="6"/>
      <x v="43"/>
    </i>
    <i r="1">
      <x v="7"/>
      <x v="51"/>
    </i>
    <i r="1">
      <x v="8"/>
      <x v="36"/>
    </i>
    <i r="1">
      <x v="9"/>
      <x v="38"/>
    </i>
    <i r="1">
      <x v="10"/>
      <x v="44"/>
    </i>
    <i r="1">
      <x v="11"/>
      <x v="37"/>
    </i>
    <i r="2">
      <x v="52"/>
    </i>
    <i r="1">
      <x v="13"/>
      <x v="26"/>
    </i>
    <i r="1">
      <x v="14"/>
      <x v="15"/>
    </i>
    <i r="1">
      <x v="15"/>
      <x v="32"/>
    </i>
    <i r="1">
      <x v="16"/>
      <x v="39"/>
    </i>
    <i r="2">
      <x v="54"/>
    </i>
    <i r="1">
      <x v="18"/>
      <x v="33"/>
    </i>
    <i r="2">
      <x v="34"/>
    </i>
    <i r="2">
      <x v="49"/>
    </i>
    <i t="blank">
      <x v="35"/>
    </i>
    <i>
      <x v="36"/>
    </i>
    <i r="1">
      <x/>
      <x v="1"/>
    </i>
    <i r="1">
      <x v="1"/>
      <x v="41"/>
    </i>
    <i r="1">
      <x v="2"/>
      <x v="48"/>
    </i>
    <i r="1">
      <x v="3"/>
      <x/>
    </i>
    <i r="1">
      <x v="4"/>
      <x v="2"/>
    </i>
    <i r="1">
      <x v="5"/>
      <x v="46"/>
    </i>
    <i r="1">
      <x v="6"/>
      <x v="38"/>
    </i>
    <i r="1">
      <x v="7"/>
      <x v="51"/>
    </i>
    <i r="1">
      <x v="8"/>
      <x v="52"/>
    </i>
    <i r="1">
      <x v="9"/>
      <x v="36"/>
    </i>
    <i r="1">
      <x v="10"/>
      <x v="37"/>
    </i>
    <i r="1">
      <x v="11"/>
      <x v="43"/>
    </i>
    <i r="1">
      <x v="12"/>
      <x v="44"/>
    </i>
    <i r="1">
      <x v="13"/>
      <x v="15"/>
    </i>
    <i r="1">
      <x v="14"/>
      <x v="40"/>
    </i>
    <i r="1">
      <x v="15"/>
      <x v="32"/>
    </i>
    <i r="1">
      <x v="16"/>
      <x v="49"/>
    </i>
    <i r="1">
      <x v="17"/>
      <x v="8"/>
    </i>
    <i r="2">
      <x v="23"/>
    </i>
    <i r="1">
      <x v="19"/>
      <x v="33"/>
    </i>
    <i r="2">
      <x v="35"/>
    </i>
    <i t="blank">
      <x v="36"/>
    </i>
    <i>
      <x v="37"/>
    </i>
    <i r="1">
      <x/>
      <x v="48"/>
    </i>
    <i r="1">
      <x v="1"/>
      <x v="41"/>
    </i>
    <i r="1">
      <x v="2"/>
      <x v="46"/>
    </i>
    <i r="1">
      <x v="3"/>
      <x v="51"/>
    </i>
    <i r="1">
      <x v="4"/>
      <x v="1"/>
    </i>
    <i r="1">
      <x v="5"/>
      <x v="38"/>
    </i>
    <i r="1">
      <x v="6"/>
      <x/>
    </i>
    <i r="1">
      <x v="7"/>
      <x v="2"/>
    </i>
    <i r="1">
      <x v="8"/>
      <x v="37"/>
    </i>
    <i r="1">
      <x v="9"/>
      <x v="49"/>
    </i>
    <i r="1">
      <x v="10"/>
      <x v="36"/>
    </i>
    <i r="1">
      <x v="11"/>
      <x v="52"/>
    </i>
    <i r="1">
      <x v="12"/>
      <x v="43"/>
    </i>
    <i r="1">
      <x v="13"/>
      <x v="40"/>
    </i>
    <i r="2">
      <x v="44"/>
    </i>
    <i r="1">
      <x v="15"/>
      <x v="35"/>
    </i>
    <i r="1">
      <x v="16"/>
      <x v="34"/>
    </i>
    <i r="1">
      <x v="17"/>
      <x v="15"/>
    </i>
    <i r="2">
      <x v="56"/>
    </i>
    <i r="1">
      <x v="19"/>
      <x v="32"/>
    </i>
    <i t="blank">
      <x v="37"/>
    </i>
    <i>
      <x v="38"/>
    </i>
    <i r="1">
      <x/>
      <x v="48"/>
    </i>
    <i r="1">
      <x v="1"/>
      <x v="41"/>
    </i>
    <i r="1">
      <x v="2"/>
      <x/>
    </i>
    <i r="1">
      <x v="3"/>
      <x v="46"/>
    </i>
    <i r="1">
      <x v="4"/>
      <x v="38"/>
    </i>
    <i r="1">
      <x v="5"/>
      <x v="1"/>
    </i>
    <i r="1">
      <x v="6"/>
      <x v="36"/>
    </i>
    <i r="1">
      <x v="7"/>
      <x v="52"/>
    </i>
    <i r="1">
      <x v="8"/>
      <x v="51"/>
    </i>
    <i r="1">
      <x v="9"/>
      <x v="2"/>
    </i>
    <i r="1">
      <x v="10"/>
      <x v="35"/>
    </i>
    <i r="1">
      <x v="11"/>
      <x v="37"/>
    </i>
    <i r="1">
      <x v="12"/>
      <x v="44"/>
    </i>
    <i r="1">
      <x v="13"/>
      <x v="43"/>
    </i>
    <i r="2">
      <x v="49"/>
    </i>
    <i r="1">
      <x v="15"/>
      <x v="54"/>
    </i>
    <i r="1">
      <x v="16"/>
      <x v="32"/>
    </i>
    <i r="1">
      <x v="17"/>
      <x v="53"/>
    </i>
    <i r="1">
      <x v="18"/>
      <x v="33"/>
    </i>
    <i r="2">
      <x v="40"/>
    </i>
    <i t="blank">
      <x v="38"/>
    </i>
    <i>
      <x v="39"/>
    </i>
    <i r="1">
      <x/>
      <x v="48"/>
    </i>
    <i r="1">
      <x v="1"/>
      <x v="46"/>
    </i>
    <i r="1">
      <x v="2"/>
      <x v="41"/>
    </i>
    <i r="1">
      <x v="3"/>
      <x v="38"/>
    </i>
    <i r="1">
      <x v="4"/>
      <x v="1"/>
    </i>
    <i r="1">
      <x v="5"/>
      <x/>
    </i>
    <i r="2">
      <x v="52"/>
    </i>
    <i r="1">
      <x v="7"/>
      <x v="2"/>
    </i>
    <i r="1">
      <x v="8"/>
      <x v="51"/>
    </i>
    <i r="1">
      <x v="9"/>
      <x v="36"/>
    </i>
    <i r="1">
      <x v="10"/>
      <x v="43"/>
    </i>
    <i r="2">
      <x v="49"/>
    </i>
    <i r="1">
      <x v="12"/>
      <x v="40"/>
    </i>
    <i r="1">
      <x v="13"/>
      <x v="37"/>
    </i>
    <i r="1">
      <x v="14"/>
      <x v="44"/>
    </i>
    <i r="1">
      <x v="15"/>
      <x v="33"/>
    </i>
    <i r="1">
      <x v="16"/>
      <x v="35"/>
    </i>
    <i r="2">
      <x v="54"/>
    </i>
    <i r="1">
      <x v="18"/>
      <x v="17"/>
    </i>
    <i r="1">
      <x v="19"/>
      <x v="32"/>
    </i>
    <i r="2">
      <x v="53"/>
    </i>
    <i t="blank">
      <x v="39"/>
    </i>
    <i>
      <x v="40"/>
    </i>
    <i r="1">
      <x/>
      <x v="15"/>
    </i>
    <i r="1">
      <x v="1"/>
      <x v="41"/>
    </i>
    <i r="1">
      <x v="2"/>
      <x v="1"/>
    </i>
    <i r="1">
      <x v="3"/>
      <x v="48"/>
    </i>
    <i r="1">
      <x v="4"/>
      <x v="2"/>
    </i>
    <i r="1">
      <x v="5"/>
      <x/>
    </i>
    <i r="1">
      <x v="6"/>
      <x v="46"/>
    </i>
    <i r="1">
      <x v="7"/>
      <x v="17"/>
    </i>
    <i r="1">
      <x v="8"/>
      <x v="38"/>
    </i>
    <i r="1">
      <x v="9"/>
      <x v="9"/>
    </i>
    <i r="1">
      <x v="10"/>
      <x v="37"/>
    </i>
    <i r="1">
      <x v="11"/>
      <x v="6"/>
    </i>
    <i r="1">
      <x v="12"/>
      <x v="23"/>
    </i>
    <i r="1">
      <x v="13"/>
      <x v="32"/>
    </i>
    <i r="2">
      <x v="54"/>
    </i>
    <i r="1">
      <x v="15"/>
      <x v="36"/>
    </i>
    <i r="1">
      <x v="16"/>
      <x v="8"/>
    </i>
    <i r="1">
      <x v="17"/>
      <x v="52"/>
    </i>
    <i r="1">
      <x v="18"/>
      <x v="40"/>
    </i>
    <i r="1">
      <x v="19"/>
      <x v="34"/>
    </i>
    <i t="blank">
      <x v="40"/>
    </i>
    <i>
      <x v="41"/>
    </i>
    <i r="1">
      <x/>
      <x v="41"/>
    </i>
    <i r="1">
      <x v="1"/>
      <x v="48"/>
    </i>
    <i r="1">
      <x v="2"/>
      <x v="46"/>
    </i>
    <i r="1">
      <x v="3"/>
      <x v="1"/>
    </i>
    <i r="1">
      <x v="4"/>
      <x/>
    </i>
    <i r="1">
      <x v="5"/>
      <x v="38"/>
    </i>
    <i r="1">
      <x v="6"/>
      <x v="2"/>
    </i>
    <i r="1">
      <x v="7"/>
      <x v="52"/>
    </i>
    <i r="1">
      <x v="8"/>
      <x v="51"/>
    </i>
    <i r="1">
      <x v="9"/>
      <x v="36"/>
    </i>
    <i r="1">
      <x v="10"/>
      <x v="35"/>
    </i>
    <i r="1">
      <x v="11"/>
      <x v="40"/>
    </i>
    <i r="1">
      <x v="12"/>
      <x v="43"/>
    </i>
    <i r="1">
      <x v="13"/>
      <x v="37"/>
    </i>
    <i r="1">
      <x v="14"/>
      <x v="49"/>
    </i>
    <i r="1">
      <x v="15"/>
      <x v="44"/>
    </i>
    <i r="1">
      <x v="16"/>
      <x v="56"/>
    </i>
    <i r="1">
      <x v="17"/>
      <x v="54"/>
    </i>
    <i r="1">
      <x v="18"/>
      <x v="33"/>
    </i>
    <i r="2">
      <x v="34"/>
    </i>
    <i t="blank">
      <x v="41"/>
    </i>
    <i>
      <x v="42"/>
    </i>
    <i r="1">
      <x/>
      <x v="41"/>
    </i>
    <i r="1">
      <x v="1"/>
      <x v="1"/>
    </i>
    <i r="1">
      <x v="2"/>
      <x v="48"/>
    </i>
    <i r="1">
      <x v="3"/>
      <x v="46"/>
    </i>
    <i r="1">
      <x v="4"/>
      <x v="15"/>
    </i>
    <i r="1">
      <x v="5"/>
      <x/>
    </i>
    <i r="1">
      <x v="6"/>
      <x v="2"/>
    </i>
    <i r="1">
      <x v="7"/>
      <x v="38"/>
    </i>
    <i r="1">
      <x v="8"/>
      <x v="17"/>
    </i>
    <i r="1">
      <x v="9"/>
      <x v="37"/>
    </i>
    <i r="1">
      <x v="10"/>
      <x v="23"/>
    </i>
    <i r="1">
      <x v="11"/>
      <x v="9"/>
    </i>
    <i r="1">
      <x v="12"/>
      <x v="52"/>
    </i>
    <i r="1">
      <x v="13"/>
      <x v="36"/>
    </i>
    <i r="1">
      <x v="14"/>
      <x v="34"/>
    </i>
    <i r="2">
      <x v="43"/>
    </i>
    <i r="1">
      <x v="16"/>
      <x v="51"/>
    </i>
    <i r="1">
      <x v="17"/>
      <x v="54"/>
    </i>
    <i r="1">
      <x v="18"/>
      <x v="11"/>
    </i>
    <i r="1">
      <x v="19"/>
      <x v="10"/>
    </i>
    <i r="2">
      <x v="40"/>
    </i>
    <i t="blank">
      <x v="42"/>
    </i>
    <i>
      <x v="43"/>
    </i>
    <i r="1">
      <x/>
      <x v="48"/>
    </i>
    <i r="1">
      <x v="1"/>
      <x v="46"/>
    </i>
    <i r="1">
      <x v="2"/>
      <x v="1"/>
    </i>
    <i r="1">
      <x v="3"/>
      <x v="41"/>
    </i>
    <i r="1">
      <x v="4"/>
      <x/>
    </i>
    <i r="1">
      <x v="5"/>
      <x v="38"/>
    </i>
    <i r="1">
      <x v="6"/>
      <x v="51"/>
    </i>
    <i r="1">
      <x v="7"/>
      <x v="52"/>
    </i>
    <i r="1">
      <x v="8"/>
      <x v="2"/>
    </i>
    <i r="1">
      <x v="9"/>
      <x v="36"/>
    </i>
    <i r="1">
      <x v="10"/>
      <x v="37"/>
    </i>
    <i r="1">
      <x v="11"/>
      <x v="49"/>
    </i>
    <i r="1">
      <x v="12"/>
      <x v="43"/>
    </i>
    <i r="2">
      <x v="54"/>
    </i>
    <i r="1">
      <x v="14"/>
      <x v="35"/>
    </i>
    <i r="2">
      <x v="44"/>
    </i>
    <i r="1">
      <x v="16"/>
      <x v="17"/>
    </i>
    <i r="1">
      <x v="17"/>
      <x v="15"/>
    </i>
    <i r="1">
      <x v="18"/>
      <x v="32"/>
    </i>
    <i r="2">
      <x v="33"/>
    </i>
    <i r="2">
      <x v="39"/>
    </i>
    <i t="blank">
      <x v="43"/>
    </i>
    <i>
      <x v="44"/>
    </i>
    <i r="1">
      <x/>
      <x v="48"/>
    </i>
    <i r="1">
      <x v="1"/>
      <x v="46"/>
    </i>
    <i r="1">
      <x v="2"/>
      <x v="38"/>
    </i>
    <i r="1">
      <x v="3"/>
      <x v="1"/>
    </i>
    <i r="2">
      <x v="41"/>
    </i>
    <i r="1">
      <x v="5"/>
      <x/>
    </i>
    <i r="1">
      <x v="6"/>
      <x v="52"/>
    </i>
    <i r="1">
      <x v="7"/>
      <x v="2"/>
    </i>
    <i r="1">
      <x v="8"/>
      <x v="36"/>
    </i>
    <i r="1">
      <x v="9"/>
      <x v="51"/>
    </i>
    <i r="1">
      <x v="10"/>
      <x v="37"/>
    </i>
    <i r="1">
      <x v="11"/>
      <x v="43"/>
    </i>
    <i r="1">
      <x v="12"/>
      <x v="40"/>
    </i>
    <i r="1">
      <x v="13"/>
      <x v="44"/>
    </i>
    <i r="1">
      <x v="14"/>
      <x v="49"/>
    </i>
    <i r="1">
      <x v="15"/>
      <x v="35"/>
    </i>
    <i r="1">
      <x v="16"/>
      <x v="15"/>
    </i>
    <i r="2">
      <x v="53"/>
    </i>
    <i r="1">
      <x v="18"/>
      <x v="34"/>
    </i>
    <i r="1">
      <x v="19"/>
      <x v="32"/>
    </i>
    <i r="2">
      <x v="47"/>
    </i>
    <i r="2">
      <x v="54"/>
    </i>
    <i t="blank">
      <x v="44"/>
    </i>
    <i>
      <x v="45"/>
    </i>
    <i r="1">
      <x/>
      <x v="41"/>
    </i>
    <i r="1">
      <x v="1"/>
      <x v="46"/>
    </i>
    <i r="1">
      <x v="2"/>
      <x v="48"/>
    </i>
    <i r="1">
      <x v="3"/>
      <x v="38"/>
    </i>
    <i r="1">
      <x v="4"/>
      <x v="1"/>
    </i>
    <i r="1">
      <x v="5"/>
      <x/>
    </i>
    <i r="1">
      <x v="6"/>
      <x v="51"/>
    </i>
    <i r="1">
      <x v="7"/>
      <x v="36"/>
    </i>
    <i r="1">
      <x v="8"/>
      <x v="2"/>
    </i>
    <i r="2">
      <x v="37"/>
    </i>
    <i r="1">
      <x v="10"/>
      <x v="52"/>
    </i>
    <i r="1">
      <x v="11"/>
      <x v="54"/>
    </i>
    <i r="1">
      <x v="12"/>
      <x v="49"/>
    </i>
    <i r="1">
      <x v="13"/>
      <x v="32"/>
    </i>
    <i r="1">
      <x v="14"/>
      <x v="15"/>
    </i>
    <i r="2">
      <x v="35"/>
    </i>
    <i r="1">
      <x v="16"/>
      <x v="43"/>
    </i>
    <i r="2">
      <x v="44"/>
    </i>
    <i r="1">
      <x v="18"/>
      <x v="53"/>
    </i>
    <i r="1">
      <x v="19"/>
      <x v="31"/>
    </i>
    <i t="blank">
      <x v="45"/>
    </i>
    <i>
      <x v="46"/>
    </i>
    <i r="1">
      <x/>
      <x v="48"/>
    </i>
    <i r="1">
      <x v="1"/>
      <x v="46"/>
    </i>
    <i r="1">
      <x v="2"/>
      <x v="41"/>
    </i>
    <i r="1">
      <x v="3"/>
      <x/>
    </i>
    <i r="1">
      <x v="4"/>
      <x v="51"/>
    </i>
    <i r="1">
      <x v="5"/>
      <x v="2"/>
    </i>
    <i r="1">
      <x v="6"/>
      <x v="52"/>
    </i>
    <i r="1">
      <x v="7"/>
      <x v="38"/>
    </i>
    <i r="1">
      <x v="8"/>
      <x v="36"/>
    </i>
    <i r="1">
      <x v="9"/>
      <x v="43"/>
    </i>
    <i r="1">
      <x v="10"/>
      <x v="1"/>
    </i>
    <i r="1">
      <x v="11"/>
      <x v="44"/>
    </i>
    <i r="1">
      <x v="12"/>
      <x v="37"/>
    </i>
    <i r="1">
      <x v="13"/>
      <x v="40"/>
    </i>
    <i r="1">
      <x v="14"/>
      <x v="49"/>
    </i>
    <i r="1">
      <x v="15"/>
      <x v="32"/>
    </i>
    <i r="1">
      <x v="16"/>
      <x v="35"/>
    </i>
    <i r="2">
      <x v="53"/>
    </i>
    <i r="1">
      <x v="18"/>
      <x v="33"/>
    </i>
    <i r="2">
      <x v="34"/>
    </i>
    <i r="2">
      <x v="56"/>
    </i>
    <i t="blank">
      <x v="46"/>
    </i>
    <i>
      <x v="47"/>
    </i>
    <i r="1">
      <x/>
      <x/>
    </i>
    <i r="1">
      <x v="1"/>
      <x v="46"/>
    </i>
    <i r="1">
      <x v="2"/>
      <x v="48"/>
    </i>
    <i r="1">
      <x v="3"/>
      <x v="1"/>
    </i>
    <i r="1">
      <x v="4"/>
      <x v="2"/>
    </i>
    <i r="1">
      <x v="5"/>
      <x v="38"/>
    </i>
    <i r="1">
      <x v="6"/>
      <x v="41"/>
    </i>
    <i r="1">
      <x v="7"/>
      <x v="37"/>
    </i>
    <i r="1">
      <x v="8"/>
      <x v="51"/>
    </i>
    <i r="1">
      <x v="9"/>
      <x v="15"/>
    </i>
    <i r="2">
      <x v="36"/>
    </i>
    <i r="1">
      <x v="11"/>
      <x v="54"/>
    </i>
    <i r="1">
      <x v="12"/>
      <x v="17"/>
    </i>
    <i r="2">
      <x v="52"/>
    </i>
    <i r="1">
      <x v="14"/>
      <x v="40"/>
    </i>
    <i r="1">
      <x v="15"/>
      <x v="44"/>
    </i>
    <i r="1">
      <x v="16"/>
      <x v="43"/>
    </i>
    <i r="1">
      <x v="17"/>
      <x v="39"/>
    </i>
    <i r="1">
      <x v="18"/>
      <x v="32"/>
    </i>
    <i r="1">
      <x v="19"/>
      <x v="22"/>
    </i>
    <i r="2">
      <x v="23"/>
    </i>
    <i r="2">
      <x v="33"/>
    </i>
    <i r="2">
      <x v="53"/>
    </i>
    <i t="blank">
      <x v="47"/>
    </i>
    <i>
      <x v="48"/>
    </i>
    <i r="1">
      <x/>
      <x v="48"/>
    </i>
    <i r="1">
      <x v="1"/>
      <x v="1"/>
    </i>
    <i r="2">
      <x v="41"/>
    </i>
    <i r="2">
      <x v="46"/>
    </i>
    <i r="1">
      <x v="4"/>
      <x/>
    </i>
    <i r="1">
      <x v="5"/>
      <x v="15"/>
    </i>
    <i r="1">
      <x v="6"/>
      <x v="2"/>
    </i>
    <i r="1">
      <x v="7"/>
      <x v="38"/>
    </i>
    <i r="1">
      <x v="8"/>
      <x v="51"/>
    </i>
    <i r="2">
      <x v="52"/>
    </i>
    <i r="1">
      <x v="10"/>
      <x v="37"/>
    </i>
    <i r="1">
      <x v="11"/>
      <x v="36"/>
    </i>
    <i r="1">
      <x v="12"/>
      <x v="17"/>
    </i>
    <i r="1">
      <x v="13"/>
      <x v="43"/>
    </i>
    <i r="1">
      <x v="14"/>
      <x v="49"/>
    </i>
    <i r="1">
      <x v="15"/>
      <x v="32"/>
    </i>
    <i r="2">
      <x v="54"/>
    </i>
    <i r="1">
      <x v="17"/>
      <x v="10"/>
    </i>
    <i r="2">
      <x v="56"/>
    </i>
    <i r="1">
      <x v="19"/>
      <x v="6"/>
    </i>
    <i t="blank">
      <x v="48"/>
    </i>
    <i>
      <x v="49"/>
    </i>
    <i r="1">
      <x/>
      <x v="48"/>
    </i>
    <i r="1">
      <x v="1"/>
      <x v="46"/>
    </i>
    <i r="1">
      <x v="2"/>
      <x v="41"/>
    </i>
    <i r="1">
      <x v="3"/>
      <x v="38"/>
    </i>
    <i r="1">
      <x v="4"/>
      <x v="1"/>
    </i>
    <i r="1">
      <x v="5"/>
      <x/>
    </i>
    <i r="1">
      <x v="6"/>
      <x v="51"/>
    </i>
    <i r="1">
      <x v="7"/>
      <x v="36"/>
    </i>
    <i r="1">
      <x v="8"/>
      <x v="2"/>
    </i>
    <i r="1">
      <x v="9"/>
      <x v="43"/>
    </i>
    <i r="1">
      <x v="10"/>
      <x v="52"/>
    </i>
    <i r="1">
      <x v="11"/>
      <x v="40"/>
    </i>
    <i r="1">
      <x v="12"/>
      <x v="49"/>
    </i>
    <i r="1">
      <x v="13"/>
      <x v="37"/>
    </i>
    <i r="1">
      <x v="14"/>
      <x v="44"/>
    </i>
    <i r="2">
      <x v="53"/>
    </i>
    <i r="1">
      <x v="16"/>
      <x v="35"/>
    </i>
    <i r="1">
      <x v="17"/>
      <x v="34"/>
    </i>
    <i r="1">
      <x v="18"/>
      <x v="15"/>
    </i>
    <i r="2">
      <x v="33"/>
    </i>
    <i t="blank">
      <x v="49"/>
    </i>
    <i>
      <x v="50"/>
    </i>
    <i r="1">
      <x/>
      <x v="48"/>
    </i>
    <i r="1">
      <x v="1"/>
      <x v="41"/>
    </i>
    <i r="1">
      <x v="2"/>
      <x v="46"/>
    </i>
    <i r="1">
      <x v="3"/>
      <x v="38"/>
    </i>
    <i r="1">
      <x v="4"/>
      <x/>
    </i>
    <i r="1">
      <x v="5"/>
      <x v="51"/>
    </i>
    <i r="1">
      <x v="6"/>
      <x v="1"/>
    </i>
    <i r="1">
      <x v="7"/>
      <x v="2"/>
    </i>
    <i r="2">
      <x v="36"/>
    </i>
    <i r="1">
      <x v="9"/>
      <x v="37"/>
    </i>
    <i r="1">
      <x v="10"/>
      <x v="49"/>
    </i>
    <i r="1">
      <x v="11"/>
      <x v="52"/>
    </i>
    <i r="1">
      <x v="12"/>
      <x v="44"/>
    </i>
    <i r="1">
      <x v="13"/>
      <x v="43"/>
    </i>
    <i r="1">
      <x v="14"/>
      <x v="53"/>
    </i>
    <i r="1">
      <x v="15"/>
      <x v="40"/>
    </i>
    <i r="1">
      <x v="16"/>
      <x v="54"/>
    </i>
    <i r="1">
      <x v="17"/>
      <x v="32"/>
    </i>
    <i r="1">
      <x v="18"/>
      <x v="15"/>
    </i>
    <i r="2">
      <x v="17"/>
    </i>
    <i r="2">
      <x v="34"/>
    </i>
    <i r="2">
      <x v="35"/>
    </i>
    <i t="blank">
      <x v="50"/>
    </i>
    <i>
      <x v="51"/>
    </i>
    <i r="1">
      <x/>
      <x v="48"/>
    </i>
    <i r="1">
      <x v="1"/>
      <x/>
    </i>
    <i r="1">
      <x v="2"/>
      <x v="1"/>
    </i>
    <i r="1">
      <x v="3"/>
      <x v="46"/>
    </i>
    <i r="1">
      <x v="4"/>
      <x v="2"/>
    </i>
    <i r="1">
      <x v="5"/>
      <x v="51"/>
    </i>
    <i r="1">
      <x v="6"/>
      <x v="41"/>
    </i>
    <i r="1">
      <x v="7"/>
      <x v="38"/>
    </i>
    <i r="1">
      <x v="8"/>
      <x v="37"/>
    </i>
    <i r="2">
      <x v="52"/>
    </i>
    <i r="1">
      <x v="10"/>
      <x v="15"/>
    </i>
    <i r="1">
      <x v="11"/>
      <x v="36"/>
    </i>
    <i r="1">
      <x v="12"/>
      <x v="17"/>
    </i>
    <i r="1">
      <x v="13"/>
      <x v="44"/>
    </i>
    <i r="2">
      <x v="53"/>
    </i>
    <i r="1">
      <x v="15"/>
      <x v="33"/>
    </i>
    <i r="2">
      <x v="54"/>
    </i>
    <i r="1">
      <x v="17"/>
      <x v="9"/>
    </i>
    <i r="2">
      <x v="32"/>
    </i>
    <i r="1">
      <x v="19"/>
      <x v="23"/>
    </i>
    <i r="2">
      <x v="49"/>
    </i>
    <i t="blank">
      <x v="51"/>
    </i>
    <i>
      <x v="52"/>
    </i>
    <i r="1">
      <x/>
      <x v="41"/>
    </i>
    <i r="1">
      <x v="1"/>
      <x v="1"/>
    </i>
    <i r="1">
      <x v="2"/>
      <x/>
    </i>
    <i r="1">
      <x v="3"/>
      <x v="2"/>
    </i>
    <i r="1">
      <x v="4"/>
      <x v="48"/>
    </i>
    <i r="1">
      <x v="5"/>
      <x v="38"/>
    </i>
    <i r="2">
      <x v="46"/>
    </i>
    <i r="1">
      <x v="7"/>
      <x v="17"/>
    </i>
    <i r="1">
      <x v="8"/>
      <x v="15"/>
    </i>
    <i r="1">
      <x v="9"/>
      <x v="9"/>
    </i>
    <i r="2">
      <x v="37"/>
    </i>
    <i r="1">
      <x v="11"/>
      <x v="51"/>
    </i>
    <i r="1">
      <x v="12"/>
      <x v="6"/>
    </i>
    <i r="2">
      <x v="54"/>
    </i>
    <i r="1">
      <x v="14"/>
      <x v="8"/>
    </i>
    <i r="1">
      <x v="15"/>
      <x v="33"/>
    </i>
    <i r="1">
      <x v="16"/>
      <x v="32"/>
    </i>
    <i r="2">
      <x v="52"/>
    </i>
    <i r="2">
      <x v="53"/>
    </i>
    <i r="2">
      <x v="56"/>
    </i>
    <i t="blank">
      <x v="52"/>
    </i>
    <i>
      <x v="53"/>
    </i>
    <i r="1">
      <x/>
      <x v="46"/>
    </i>
    <i r="1">
      <x v="1"/>
      <x v="48"/>
    </i>
    <i r="1">
      <x v="2"/>
      <x v="1"/>
    </i>
    <i r="1">
      <x v="3"/>
      <x/>
    </i>
    <i r="2">
      <x v="36"/>
    </i>
    <i r="1">
      <x v="5"/>
      <x v="38"/>
    </i>
    <i r="1">
      <x v="6"/>
      <x v="52"/>
    </i>
    <i r="1">
      <x v="7"/>
      <x v="41"/>
    </i>
    <i r="1">
      <x v="8"/>
      <x v="51"/>
    </i>
    <i r="1">
      <x v="9"/>
      <x v="37"/>
    </i>
    <i r="1">
      <x v="10"/>
      <x v="49"/>
    </i>
    <i r="1">
      <x v="11"/>
      <x v="2"/>
    </i>
    <i r="1">
      <x v="12"/>
      <x v="40"/>
    </i>
    <i r="2">
      <x v="44"/>
    </i>
    <i r="2">
      <x v="54"/>
    </i>
    <i r="1">
      <x v="15"/>
      <x v="15"/>
    </i>
    <i r="1">
      <x v="16"/>
      <x v="53"/>
    </i>
    <i r="1">
      <x v="17"/>
      <x v="34"/>
    </i>
    <i r="2">
      <x v="35"/>
    </i>
    <i r="2">
      <x v="43"/>
    </i>
    <i t="blank">
      <x v="53"/>
    </i>
    <i>
      <x v="54"/>
    </i>
    <i r="1">
      <x/>
      <x v="46"/>
    </i>
    <i r="1">
      <x v="1"/>
      <x/>
    </i>
    <i r="1">
      <x v="2"/>
      <x v="38"/>
    </i>
    <i r="1">
      <x v="3"/>
      <x v="1"/>
    </i>
    <i r="1">
      <x v="4"/>
      <x v="51"/>
    </i>
    <i r="1">
      <x v="5"/>
      <x v="6"/>
    </i>
    <i r="1">
      <x v="6"/>
      <x v="48"/>
    </i>
    <i r="1">
      <x v="7"/>
      <x v="36"/>
    </i>
    <i r="1">
      <x v="8"/>
      <x v="52"/>
    </i>
    <i r="1">
      <x v="9"/>
      <x v="2"/>
    </i>
    <i r="1">
      <x v="10"/>
      <x v="15"/>
    </i>
    <i r="2">
      <x v="54"/>
    </i>
    <i r="1">
      <x v="12"/>
      <x v="35"/>
    </i>
    <i r="2">
      <x v="40"/>
    </i>
    <i r="2">
      <x v="43"/>
    </i>
    <i r="1">
      <x v="15"/>
      <x v="32"/>
    </i>
    <i r="2">
      <x v="37"/>
    </i>
    <i r="2">
      <x v="41"/>
    </i>
    <i r="1">
      <x v="18"/>
      <x v="16"/>
    </i>
    <i r="1">
      <x v="19"/>
      <x v="5"/>
    </i>
    <i r="2">
      <x v="18"/>
    </i>
    <i r="2">
      <x v="20"/>
    </i>
    <i r="2">
      <x v="23"/>
    </i>
    <i r="2">
      <x v="34"/>
    </i>
    <i r="2">
      <x v="44"/>
    </i>
    <i r="2">
      <x v="49"/>
    </i>
    <i r="2">
      <x v="50"/>
    </i>
    <i r="2">
      <x v="56"/>
    </i>
    <i t="blank">
      <x v="54"/>
    </i>
    <i>
      <x v="55"/>
    </i>
    <i r="1">
      <x/>
      <x v="48"/>
    </i>
    <i r="1">
      <x v="1"/>
      <x v="46"/>
    </i>
    <i r="1">
      <x v="2"/>
      <x/>
    </i>
    <i r="1">
      <x v="3"/>
      <x v="1"/>
    </i>
    <i r="1">
      <x v="4"/>
      <x v="41"/>
    </i>
    <i r="1">
      <x v="5"/>
      <x v="2"/>
    </i>
    <i r="1">
      <x v="6"/>
      <x v="37"/>
    </i>
    <i r="1">
      <x v="7"/>
      <x v="52"/>
    </i>
    <i r="1">
      <x v="8"/>
      <x v="38"/>
    </i>
    <i r="1">
      <x v="9"/>
      <x v="43"/>
    </i>
    <i r="1">
      <x v="10"/>
      <x v="39"/>
    </i>
    <i r="1">
      <x v="11"/>
      <x v="36"/>
    </i>
    <i r="2">
      <x v="40"/>
    </i>
    <i r="2">
      <x v="44"/>
    </i>
    <i r="2">
      <x v="49"/>
    </i>
    <i r="2">
      <x v="51"/>
    </i>
    <i r="2">
      <x v="53"/>
    </i>
    <i r="1">
      <x v="17"/>
      <x v="32"/>
    </i>
    <i r="2">
      <x v="33"/>
    </i>
    <i r="1">
      <x v="19"/>
      <x v="15"/>
    </i>
    <i r="2">
      <x v="17"/>
    </i>
    <i r="2">
      <x v="47"/>
    </i>
    <i t="blank">
      <x v="55"/>
    </i>
    <i>
      <x v="56"/>
    </i>
    <i r="1">
      <x/>
      <x/>
    </i>
    <i r="1">
      <x v="1"/>
      <x v="46"/>
    </i>
    <i r="1">
      <x v="2"/>
      <x v="48"/>
    </i>
    <i r="1">
      <x v="3"/>
      <x v="41"/>
    </i>
    <i r="1">
      <x v="4"/>
      <x v="38"/>
    </i>
    <i r="1">
      <x v="5"/>
      <x v="1"/>
    </i>
    <i r="1">
      <x v="6"/>
      <x v="36"/>
    </i>
    <i r="1">
      <x v="7"/>
      <x v="2"/>
    </i>
    <i r="1">
      <x v="8"/>
      <x v="51"/>
    </i>
    <i r="1">
      <x v="9"/>
      <x v="44"/>
    </i>
    <i r="1">
      <x v="10"/>
      <x v="37"/>
    </i>
    <i r="1">
      <x v="11"/>
      <x v="52"/>
    </i>
    <i r="1">
      <x v="12"/>
      <x v="43"/>
    </i>
    <i r="2">
      <x v="49"/>
    </i>
    <i r="1">
      <x v="14"/>
      <x v="23"/>
    </i>
    <i r="1">
      <x v="15"/>
      <x v="15"/>
    </i>
    <i r="2">
      <x v="35"/>
    </i>
    <i r="2">
      <x v="53"/>
    </i>
    <i r="1">
      <x v="18"/>
      <x v="26"/>
    </i>
    <i r="2">
      <x v="32"/>
    </i>
    <i r="2">
      <x v="40"/>
    </i>
    <i r="2">
      <x v="47"/>
    </i>
    <i t="blank">
      <x v="56"/>
    </i>
    <i>
      <x v="57"/>
    </i>
    <i r="1">
      <x/>
      <x v="48"/>
    </i>
    <i r="1">
      <x v="1"/>
      <x v="46"/>
    </i>
    <i r="1">
      <x v="2"/>
      <x v="38"/>
    </i>
    <i r="1">
      <x v="3"/>
      <x/>
    </i>
    <i r="1">
      <x v="4"/>
      <x v="36"/>
    </i>
    <i r="1">
      <x v="5"/>
      <x v="41"/>
    </i>
    <i r="1">
      <x v="6"/>
      <x v="51"/>
    </i>
    <i r="1">
      <x v="7"/>
      <x v="1"/>
    </i>
    <i r="1">
      <x v="8"/>
      <x v="37"/>
    </i>
    <i r="2">
      <x v="52"/>
    </i>
    <i r="1">
      <x v="10"/>
      <x v="2"/>
    </i>
    <i r="1">
      <x v="11"/>
      <x v="43"/>
    </i>
    <i r="1">
      <x v="12"/>
      <x v="6"/>
    </i>
    <i r="2">
      <x v="7"/>
    </i>
    <i r="1">
      <x v="14"/>
      <x v="44"/>
    </i>
    <i r="1">
      <x v="15"/>
      <x v="22"/>
    </i>
    <i r="2">
      <x v="32"/>
    </i>
    <i r="2">
      <x v="35"/>
    </i>
    <i r="1">
      <x v="18"/>
      <x v="4"/>
    </i>
    <i r="2">
      <x v="15"/>
    </i>
    <i r="2">
      <x v="34"/>
    </i>
    <i r="2">
      <x v="49"/>
    </i>
    <i t="blank">
      <x v="57"/>
    </i>
    <i>
      <x v="58"/>
    </i>
    <i r="1">
      <x/>
      <x v="1"/>
    </i>
    <i r="1">
      <x v="1"/>
      <x/>
    </i>
    <i r="1">
      <x v="2"/>
      <x v="46"/>
    </i>
    <i r="1">
      <x v="3"/>
      <x v="48"/>
    </i>
    <i r="1">
      <x v="4"/>
      <x v="2"/>
    </i>
    <i r="1">
      <x v="5"/>
      <x v="15"/>
    </i>
    <i r="1">
      <x v="6"/>
      <x v="54"/>
    </i>
    <i r="1">
      <x v="7"/>
      <x v="37"/>
    </i>
    <i r="2">
      <x v="38"/>
    </i>
    <i r="1">
      <x v="9"/>
      <x v="51"/>
    </i>
    <i r="1">
      <x v="10"/>
      <x v="23"/>
    </i>
    <i r="1">
      <x v="11"/>
      <x v="52"/>
    </i>
    <i r="1">
      <x v="12"/>
      <x v="17"/>
    </i>
    <i r="2">
      <x v="36"/>
    </i>
    <i r="1">
      <x v="14"/>
      <x v="9"/>
    </i>
    <i r="2">
      <x v="33"/>
    </i>
    <i r="1">
      <x v="16"/>
      <x v="32"/>
    </i>
    <i r="2">
      <x v="42"/>
    </i>
    <i r="2">
      <x v="44"/>
    </i>
    <i r="1">
      <x v="19"/>
      <x v="3"/>
    </i>
    <i r="2">
      <x v="31"/>
    </i>
    <i r="2">
      <x v="35"/>
    </i>
    <i r="2">
      <x v="40"/>
    </i>
    <i r="2">
      <x v="41"/>
    </i>
    <i r="2">
      <x v="43"/>
    </i>
    <i t="blank">
      <x v="58"/>
    </i>
    <i>
      <x v="59"/>
    </i>
    <i r="1">
      <x/>
      <x/>
    </i>
    <i r="1">
      <x v="1"/>
      <x v="1"/>
    </i>
    <i r="1">
      <x v="2"/>
      <x v="46"/>
    </i>
    <i r="1">
      <x v="3"/>
      <x v="48"/>
    </i>
    <i r="1">
      <x v="4"/>
      <x v="2"/>
    </i>
    <i r="1">
      <x v="5"/>
      <x v="38"/>
    </i>
    <i r="1">
      <x v="6"/>
      <x v="37"/>
    </i>
    <i r="1">
      <x v="7"/>
      <x v="36"/>
    </i>
    <i r="2">
      <x v="54"/>
    </i>
    <i r="1">
      <x v="9"/>
      <x v="41"/>
    </i>
    <i r="1">
      <x v="10"/>
      <x v="15"/>
    </i>
    <i r="2">
      <x v="22"/>
    </i>
    <i r="1">
      <x v="12"/>
      <x v="32"/>
    </i>
    <i r="2">
      <x v="34"/>
    </i>
    <i r="2">
      <x v="43"/>
    </i>
    <i r="2">
      <x v="51"/>
    </i>
    <i r="2">
      <x v="52"/>
    </i>
    <i r="2">
      <x v="56"/>
    </i>
    <i r="1">
      <x v="18"/>
      <x v="7"/>
    </i>
    <i r="1">
      <x v="19"/>
      <x v="16"/>
    </i>
    <i r="2">
      <x v="53"/>
    </i>
    <i t="blank">
      <x v="59"/>
    </i>
    <i>
      <x v="60"/>
    </i>
    <i r="1">
      <x/>
      <x/>
    </i>
    <i r="1">
      <x v="1"/>
      <x v="48"/>
    </i>
    <i r="1">
      <x v="2"/>
      <x v="1"/>
    </i>
    <i r="2">
      <x v="2"/>
    </i>
    <i r="2">
      <x v="51"/>
    </i>
    <i r="1">
      <x v="5"/>
      <x v="46"/>
    </i>
    <i r="1">
      <x v="6"/>
      <x v="38"/>
    </i>
    <i r="1">
      <x v="7"/>
      <x v="43"/>
    </i>
    <i r="1">
      <x v="8"/>
      <x v="36"/>
    </i>
    <i r="1">
      <x v="9"/>
      <x v="15"/>
    </i>
    <i r="1">
      <x v="10"/>
      <x v="44"/>
    </i>
    <i r="1">
      <x v="11"/>
      <x v="52"/>
    </i>
    <i r="1">
      <x v="12"/>
      <x v="31"/>
    </i>
    <i r="2">
      <x v="32"/>
    </i>
    <i r="2">
      <x v="41"/>
    </i>
    <i r="2">
      <x v="50"/>
    </i>
    <i r="2">
      <x v="56"/>
    </i>
    <i r="1">
      <x v="17"/>
      <x v="22"/>
    </i>
    <i r="2">
      <x v="26"/>
    </i>
    <i r="2">
      <x v="33"/>
    </i>
    <i r="2">
      <x v="54"/>
    </i>
    <i t="blank">
      <x v="60"/>
    </i>
    <i>
      <x v="61"/>
    </i>
    <i r="1">
      <x/>
      <x v="6"/>
    </i>
    <i r="1">
      <x v="1"/>
      <x v="46"/>
    </i>
    <i r="1">
      <x v="2"/>
      <x/>
    </i>
    <i r="1">
      <x v="3"/>
      <x v="1"/>
    </i>
    <i r="1">
      <x v="4"/>
      <x v="36"/>
    </i>
    <i r="2">
      <x v="38"/>
    </i>
    <i r="1">
      <x v="6"/>
      <x v="48"/>
    </i>
    <i r="1">
      <x v="7"/>
      <x v="15"/>
    </i>
    <i r="1">
      <x v="8"/>
      <x v="37"/>
    </i>
    <i r="1">
      <x v="9"/>
      <x v="2"/>
    </i>
    <i r="2">
      <x v="5"/>
    </i>
    <i r="2">
      <x v="51"/>
    </i>
    <i r="2">
      <x v="54"/>
    </i>
    <i r="1">
      <x v="13"/>
      <x v="17"/>
    </i>
    <i r="2">
      <x v="32"/>
    </i>
    <i r="2">
      <x v="41"/>
    </i>
    <i r="1">
      <x v="16"/>
      <x v="22"/>
    </i>
    <i r="2">
      <x v="34"/>
    </i>
    <i r="2">
      <x v="52"/>
    </i>
    <i r="1">
      <x v="19"/>
      <x v="3"/>
    </i>
    <i r="2">
      <x v="49"/>
    </i>
    <i t="blank">
      <x v="61"/>
    </i>
    <i>
      <x v="62"/>
    </i>
    <i r="1">
      <x/>
      <x v="41"/>
    </i>
    <i r="1">
      <x v="1"/>
      <x v="46"/>
    </i>
    <i r="2">
      <x v="48"/>
    </i>
    <i r="1">
      <x v="3"/>
      <x/>
    </i>
    <i r="2">
      <x v="1"/>
    </i>
    <i r="1">
      <x v="5"/>
      <x v="38"/>
    </i>
    <i r="1">
      <x v="6"/>
      <x v="2"/>
    </i>
    <i r="1">
      <x v="7"/>
      <x v="52"/>
    </i>
    <i r="2">
      <x v="54"/>
    </i>
    <i r="1">
      <x v="9"/>
      <x v="36"/>
    </i>
    <i r="2">
      <x v="45"/>
    </i>
    <i r="2">
      <x v="49"/>
    </i>
    <i r="1">
      <x v="12"/>
      <x v="3"/>
    </i>
    <i r="2">
      <x v="4"/>
    </i>
    <i r="2">
      <x v="5"/>
    </i>
    <i r="2">
      <x v="23"/>
    </i>
    <i r="2">
      <x v="29"/>
    </i>
    <i r="2">
      <x v="35"/>
    </i>
    <i r="2">
      <x v="37"/>
    </i>
    <i r="2">
      <x v="44"/>
    </i>
    <i r="2">
      <x v="51"/>
    </i>
    <i t="blank">
      <x v="62"/>
    </i>
    <i>
      <x v="63"/>
    </i>
    <i r="1">
      <x/>
      <x v="38"/>
    </i>
    <i r="2">
      <x v="46"/>
    </i>
    <i r="1">
      <x v="2"/>
      <x v="48"/>
    </i>
    <i r="1">
      <x v="3"/>
      <x/>
    </i>
    <i r="1">
      <x v="4"/>
      <x v="1"/>
    </i>
    <i r="1">
      <x v="5"/>
      <x v="36"/>
    </i>
    <i r="1">
      <x v="6"/>
      <x v="37"/>
    </i>
    <i r="1">
      <x v="7"/>
      <x v="2"/>
    </i>
    <i r="1">
      <x v="8"/>
      <x v="54"/>
    </i>
    <i r="1">
      <x v="9"/>
      <x v="15"/>
    </i>
    <i r="2">
      <x v="51"/>
    </i>
    <i r="1">
      <x v="11"/>
      <x v="41"/>
    </i>
    <i r="2">
      <x v="52"/>
    </i>
    <i r="1">
      <x v="13"/>
      <x v="17"/>
    </i>
    <i r="2">
      <x v="35"/>
    </i>
    <i r="2">
      <x v="43"/>
    </i>
    <i r="2">
      <x v="44"/>
    </i>
    <i r="2">
      <x v="45"/>
    </i>
    <i r="2">
      <x v="47"/>
    </i>
    <i r="1">
      <x v="19"/>
      <x v="12"/>
    </i>
    <i r="2">
      <x v="20"/>
    </i>
    <i r="2">
      <x v="24"/>
    </i>
    <i r="2">
      <x v="28"/>
    </i>
    <i r="2">
      <x v="32"/>
    </i>
    <i r="2">
      <x v="53"/>
    </i>
    <i r="2">
      <x v="55"/>
    </i>
    <i t="blank">
      <x v="63"/>
    </i>
    <i>
      <x v="64"/>
    </i>
    <i r="1">
      <x/>
      <x v="46"/>
    </i>
    <i r="1">
      <x v="1"/>
      <x v="48"/>
    </i>
    <i r="1">
      <x v="2"/>
      <x v="36"/>
    </i>
    <i r="1">
      <x v="3"/>
      <x/>
    </i>
    <i r="1">
      <x v="4"/>
      <x v="41"/>
    </i>
    <i r="1">
      <x v="5"/>
      <x v="38"/>
    </i>
    <i r="1">
      <x v="6"/>
      <x v="1"/>
    </i>
    <i r="2">
      <x v="37"/>
    </i>
    <i r="1">
      <x v="8"/>
      <x v="51"/>
    </i>
    <i r="2">
      <x v="52"/>
    </i>
    <i r="1">
      <x v="10"/>
      <x v="3"/>
    </i>
    <i r="2">
      <x v="15"/>
    </i>
    <i r="1">
      <x v="12"/>
      <x v="44"/>
    </i>
    <i r="2">
      <x v="45"/>
    </i>
    <i r="1">
      <x v="14"/>
      <x v="22"/>
    </i>
    <i r="1">
      <x v="15"/>
      <x v="2"/>
    </i>
    <i r="2">
      <x v="20"/>
    </i>
    <i r="2">
      <x v="47"/>
    </i>
    <i r="2">
      <x v="49"/>
    </i>
    <i r="2">
      <x v="50"/>
    </i>
    <i r="2">
      <x v="54"/>
    </i>
    <i t="blank">
      <x v="64"/>
    </i>
    <i>
      <x v="65"/>
    </i>
    <i r="1">
      <x/>
      <x/>
    </i>
    <i r="1">
      <x v="1"/>
      <x v="46"/>
    </i>
    <i r="1">
      <x v="2"/>
      <x v="48"/>
    </i>
    <i r="1">
      <x v="3"/>
      <x v="1"/>
    </i>
    <i r="1">
      <x v="4"/>
      <x v="38"/>
    </i>
    <i r="1">
      <x v="5"/>
      <x v="36"/>
    </i>
    <i r="1">
      <x v="6"/>
      <x v="2"/>
    </i>
    <i r="1">
      <x v="7"/>
      <x v="37"/>
    </i>
    <i r="1">
      <x v="8"/>
      <x v="32"/>
    </i>
    <i r="1">
      <x v="9"/>
      <x v="3"/>
    </i>
    <i r="2">
      <x v="54"/>
    </i>
    <i r="1">
      <x v="11"/>
      <x v="4"/>
    </i>
    <i r="2">
      <x v="43"/>
    </i>
    <i r="2">
      <x v="44"/>
    </i>
    <i r="2">
      <x v="52"/>
    </i>
    <i r="1">
      <x v="15"/>
      <x v="19"/>
    </i>
    <i r="2">
      <x v="35"/>
    </i>
    <i r="2">
      <x v="51"/>
    </i>
    <i r="1">
      <x v="18"/>
      <x v="5"/>
    </i>
    <i r="2">
      <x v="22"/>
    </i>
    <i r="2">
      <x v="29"/>
    </i>
    <i r="2">
      <x v="53"/>
    </i>
    <i t="blank">
      <x v="65"/>
    </i>
    <i>
      <x v="66"/>
    </i>
    <i r="1">
      <x/>
      <x/>
    </i>
    <i r="1">
      <x v="1"/>
      <x v="46"/>
    </i>
    <i r="1">
      <x v="2"/>
      <x v="38"/>
    </i>
    <i r="2">
      <x v="48"/>
    </i>
    <i r="1">
      <x v="4"/>
      <x v="1"/>
    </i>
    <i r="2">
      <x v="36"/>
    </i>
    <i r="1">
      <x v="6"/>
      <x v="15"/>
    </i>
    <i r="1">
      <x v="7"/>
      <x v="16"/>
    </i>
    <i r="2">
      <x v="22"/>
    </i>
    <i r="2">
      <x v="53"/>
    </i>
    <i r="1">
      <x v="10"/>
      <x v="3"/>
    </i>
    <i r="2">
      <x v="54"/>
    </i>
    <i r="1">
      <x v="12"/>
      <x v="2"/>
    </i>
    <i r="2">
      <x v="12"/>
    </i>
    <i r="2">
      <x v="17"/>
    </i>
    <i r="2">
      <x v="43"/>
    </i>
    <i r="2">
      <x v="44"/>
    </i>
    <i r="2">
      <x v="51"/>
    </i>
    <i r="2">
      <x v="52"/>
    </i>
    <i r="1">
      <x v="19"/>
      <x v="7"/>
    </i>
    <i r="2">
      <x v="8"/>
    </i>
    <i r="2">
      <x v="13"/>
    </i>
    <i r="2">
      <x v="21"/>
    </i>
    <i r="2">
      <x v="23"/>
    </i>
    <i r="2">
      <x v="25"/>
    </i>
    <i r="2">
      <x v="27"/>
    </i>
    <i r="2">
      <x v="29"/>
    </i>
    <i r="2">
      <x v="30"/>
    </i>
    <i r="2">
      <x v="37"/>
    </i>
    <i r="2">
      <x v="39"/>
    </i>
    <i r="2">
      <x v="50"/>
    </i>
    <i r="2">
      <x v="56"/>
    </i>
    <i r="2">
      <x v="57"/>
    </i>
    <i t="blank">
      <x v="66"/>
    </i>
    <i>
      <x v="67"/>
    </i>
    <i r="1">
      <x/>
      <x/>
    </i>
    <i r="1">
      <x v="1"/>
      <x v="46"/>
    </i>
    <i r="2">
      <x v="48"/>
    </i>
    <i r="1">
      <x v="3"/>
      <x v="1"/>
    </i>
    <i r="2">
      <x v="38"/>
    </i>
    <i r="1">
      <x v="5"/>
      <x v="2"/>
    </i>
    <i r="1">
      <x v="6"/>
      <x v="52"/>
    </i>
    <i r="2">
      <x v="54"/>
    </i>
    <i r="1">
      <x v="8"/>
      <x v="36"/>
    </i>
    <i r="1">
      <x v="9"/>
      <x v="15"/>
    </i>
    <i r="1">
      <x v="10"/>
      <x v="53"/>
    </i>
    <i r="1">
      <x v="11"/>
      <x v="32"/>
    </i>
    <i r="1">
      <x v="12"/>
      <x v="3"/>
    </i>
    <i r="2">
      <x v="9"/>
    </i>
    <i r="2">
      <x v="14"/>
    </i>
    <i r="2">
      <x v="37"/>
    </i>
    <i r="2">
      <x v="44"/>
    </i>
    <i r="2">
      <x v="49"/>
    </i>
    <i r="1">
      <x v="18"/>
      <x v="23"/>
    </i>
    <i r="2">
      <x v="40"/>
    </i>
    <i r="2">
      <x v="51"/>
    </i>
    <i t="blank">
      <x v="67"/>
    </i>
    <i>
      <x v="68"/>
    </i>
    <i r="1">
      <x/>
      <x/>
    </i>
    <i r="1">
      <x v="1"/>
      <x v="48"/>
    </i>
    <i r="1">
      <x v="2"/>
      <x v="46"/>
    </i>
    <i r="1">
      <x v="3"/>
      <x v="38"/>
    </i>
    <i r="1">
      <x v="4"/>
      <x v="1"/>
    </i>
    <i r="1">
      <x v="5"/>
      <x v="41"/>
    </i>
    <i r="1">
      <x v="6"/>
      <x v="2"/>
    </i>
    <i r="2">
      <x v="54"/>
    </i>
    <i r="1">
      <x v="8"/>
      <x v="37"/>
    </i>
    <i r="1">
      <x v="9"/>
      <x v="24"/>
    </i>
    <i r="2">
      <x v="51"/>
    </i>
    <i r="2">
      <x v="52"/>
    </i>
    <i r="1">
      <x v="12"/>
      <x v="23"/>
    </i>
    <i r="2">
      <x v="31"/>
    </i>
    <i r="2">
      <x v="32"/>
    </i>
    <i r="2">
      <x v="34"/>
    </i>
    <i r="2">
      <x v="36"/>
    </i>
    <i r="2">
      <x v="53"/>
    </i>
    <i r="1">
      <x v="18"/>
      <x v="12"/>
    </i>
    <i r="2">
      <x v="33"/>
    </i>
    <i r="2">
      <x v="39"/>
    </i>
    <i r="2">
      <x v="49"/>
    </i>
    <i t="blank">
      <x v="68"/>
    </i>
    <i>
      <x v="69"/>
    </i>
    <i r="1">
      <x/>
      <x v="48"/>
    </i>
    <i r="1">
      <x v="1"/>
      <x v="46"/>
    </i>
    <i r="1">
      <x v="2"/>
      <x/>
    </i>
    <i r="1">
      <x v="3"/>
      <x v="38"/>
    </i>
    <i r="1">
      <x v="4"/>
      <x v="1"/>
    </i>
    <i r="1">
      <x v="5"/>
      <x v="51"/>
    </i>
    <i r="1">
      <x v="6"/>
      <x v="52"/>
    </i>
    <i r="1">
      <x v="7"/>
      <x v="36"/>
    </i>
    <i r="1">
      <x v="8"/>
      <x v="2"/>
    </i>
    <i r="2">
      <x v="37"/>
    </i>
    <i r="2">
      <x v="41"/>
    </i>
    <i r="1">
      <x v="11"/>
      <x v="35"/>
    </i>
    <i r="1">
      <x v="12"/>
      <x v="54"/>
    </i>
    <i r="1">
      <x v="13"/>
      <x v="49"/>
    </i>
    <i r="1">
      <x v="14"/>
      <x v="40"/>
    </i>
    <i r="1">
      <x v="15"/>
      <x v="15"/>
    </i>
    <i r="1">
      <x v="16"/>
      <x v="32"/>
    </i>
    <i r="2">
      <x v="44"/>
    </i>
    <i r="1">
      <x v="18"/>
      <x v="33"/>
    </i>
    <i r="2">
      <x v="43"/>
    </i>
    <i r="2">
      <x v="53"/>
    </i>
    <i t="blank">
      <x v="69"/>
    </i>
    <i>
      <x v="70"/>
    </i>
    <i r="1">
      <x/>
      <x v="46"/>
    </i>
    <i r="1">
      <x v="1"/>
      <x v="48"/>
    </i>
    <i r="1">
      <x v="2"/>
      <x v="38"/>
    </i>
    <i r="1">
      <x v="3"/>
      <x/>
    </i>
    <i r="1">
      <x v="4"/>
      <x v="1"/>
    </i>
    <i r="2">
      <x v="36"/>
    </i>
    <i r="1">
      <x v="6"/>
      <x v="2"/>
    </i>
    <i r="2">
      <x v="52"/>
    </i>
    <i r="1">
      <x v="8"/>
      <x v="37"/>
    </i>
    <i r="1">
      <x v="9"/>
      <x v="51"/>
    </i>
    <i r="1">
      <x v="10"/>
      <x v="41"/>
    </i>
    <i r="1">
      <x v="11"/>
      <x v="54"/>
    </i>
    <i r="1">
      <x v="12"/>
      <x v="44"/>
    </i>
    <i r="1">
      <x v="13"/>
      <x v="40"/>
    </i>
    <i r="1">
      <x v="14"/>
      <x v="53"/>
    </i>
    <i r="1">
      <x v="15"/>
      <x v="35"/>
    </i>
    <i r="1">
      <x v="16"/>
      <x v="15"/>
    </i>
    <i r="2">
      <x v="49"/>
    </i>
    <i r="1">
      <x v="18"/>
      <x v="32"/>
    </i>
    <i r="2">
      <x v="56"/>
    </i>
    <i t="blank">
      <x v="70"/>
    </i>
    <i>
      <x v="71"/>
    </i>
    <i r="1">
      <x/>
      <x v="41"/>
    </i>
    <i r="1">
      <x v="1"/>
      <x v="48"/>
    </i>
    <i r="1">
      <x v="2"/>
      <x v="46"/>
    </i>
    <i r="1">
      <x v="3"/>
      <x v="2"/>
    </i>
    <i r="2">
      <x v="38"/>
    </i>
    <i r="1">
      <x v="5"/>
      <x/>
    </i>
    <i r="1">
      <x v="6"/>
      <x v="36"/>
    </i>
    <i r="1">
      <x v="7"/>
      <x v="1"/>
    </i>
    <i r="1">
      <x v="8"/>
      <x v="51"/>
    </i>
    <i r="1">
      <x v="9"/>
      <x v="52"/>
    </i>
    <i r="1">
      <x v="10"/>
      <x v="43"/>
    </i>
    <i r="1">
      <x v="11"/>
      <x v="37"/>
    </i>
    <i r="2">
      <x v="49"/>
    </i>
    <i r="1">
      <x v="13"/>
      <x v="44"/>
    </i>
    <i r="1">
      <x v="14"/>
      <x v="32"/>
    </i>
    <i r="2">
      <x v="39"/>
    </i>
    <i r="2">
      <x v="40"/>
    </i>
    <i r="2">
      <x v="54"/>
    </i>
    <i r="1">
      <x v="18"/>
      <x v="6"/>
    </i>
    <i r="2">
      <x v="16"/>
    </i>
    <i t="blank">
      <x v="71"/>
    </i>
    <i>
      <x v="72"/>
    </i>
    <i r="1">
      <x/>
      <x v="48"/>
    </i>
    <i r="1">
      <x v="1"/>
      <x/>
    </i>
    <i r="1">
      <x v="2"/>
      <x v="46"/>
    </i>
    <i r="1">
      <x v="3"/>
      <x v="1"/>
    </i>
    <i r="1">
      <x v="4"/>
      <x v="38"/>
    </i>
    <i r="1">
      <x v="5"/>
      <x v="2"/>
    </i>
    <i r="1">
      <x v="6"/>
      <x v="41"/>
    </i>
    <i r="1">
      <x v="7"/>
      <x v="36"/>
    </i>
    <i r="1">
      <x v="8"/>
      <x v="37"/>
    </i>
    <i r="1">
      <x v="9"/>
      <x v="51"/>
    </i>
    <i r="1">
      <x v="10"/>
      <x v="52"/>
    </i>
    <i r="1">
      <x v="11"/>
      <x v="15"/>
    </i>
    <i r="1">
      <x v="12"/>
      <x v="44"/>
    </i>
    <i r="1">
      <x v="13"/>
      <x v="35"/>
    </i>
    <i r="2">
      <x v="40"/>
    </i>
    <i r="1">
      <x v="15"/>
      <x v="49"/>
    </i>
    <i r="1">
      <x v="16"/>
      <x v="56"/>
    </i>
    <i r="1">
      <x v="17"/>
      <x v="31"/>
    </i>
    <i r="2">
      <x v="54"/>
    </i>
    <i r="1">
      <x v="19"/>
      <x v="32"/>
    </i>
    <i t="blank">
      <x v="72"/>
    </i>
    <i>
      <x v="73"/>
    </i>
    <i r="1">
      <x/>
      <x v="41"/>
    </i>
    <i r="1">
      <x v="1"/>
      <x v="1"/>
    </i>
    <i r="1">
      <x v="2"/>
      <x v="48"/>
    </i>
    <i r="1">
      <x v="3"/>
      <x v="2"/>
    </i>
    <i r="1">
      <x v="4"/>
      <x/>
    </i>
    <i r="1">
      <x v="5"/>
      <x v="46"/>
    </i>
    <i r="1">
      <x v="6"/>
      <x v="15"/>
    </i>
    <i r="1">
      <x v="7"/>
      <x v="37"/>
    </i>
    <i r="1">
      <x v="8"/>
      <x v="38"/>
    </i>
    <i r="1">
      <x v="9"/>
      <x v="54"/>
    </i>
    <i r="1">
      <x v="10"/>
      <x v="6"/>
    </i>
    <i r="1">
      <x v="11"/>
      <x v="33"/>
    </i>
    <i r="2">
      <x v="51"/>
    </i>
    <i r="1">
      <x v="13"/>
      <x v="36"/>
    </i>
    <i r="1">
      <x v="14"/>
      <x v="9"/>
    </i>
    <i r="2">
      <x v="32"/>
    </i>
    <i r="1">
      <x v="16"/>
      <x v="17"/>
    </i>
    <i r="2">
      <x v="52"/>
    </i>
    <i r="1">
      <x v="18"/>
      <x v="29"/>
    </i>
    <i r="2">
      <x v="49"/>
    </i>
    <i t="blank">
      <x v="73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1069">
      <pivotArea field="2" type="button" dataOnly="0" labelOnly="1" outline="0" axis="axisRow" fieldPosition="0"/>
    </format>
    <format dxfId="1068">
      <pivotArea outline="0" fieldPosition="0">
        <references count="1">
          <reference field="4294967294" count="1">
            <x v="0"/>
          </reference>
        </references>
      </pivotArea>
    </format>
    <format dxfId="1067">
      <pivotArea outline="0" fieldPosition="0">
        <references count="1">
          <reference field="4294967294" count="1">
            <x v="1"/>
          </reference>
        </references>
      </pivotArea>
    </format>
    <format dxfId="1066">
      <pivotArea outline="0" fieldPosition="0">
        <references count="1">
          <reference field="4294967294" count="1">
            <x v="2"/>
          </reference>
        </references>
      </pivotArea>
    </format>
    <format dxfId="1065">
      <pivotArea outline="0" fieldPosition="0">
        <references count="1">
          <reference field="4294967294" count="1">
            <x v="3"/>
          </reference>
        </references>
      </pivotArea>
    </format>
    <format dxfId="1064">
      <pivotArea outline="0" fieldPosition="0">
        <references count="1">
          <reference field="4294967294" count="1">
            <x v="4"/>
          </reference>
        </references>
      </pivotArea>
    </format>
    <format dxfId="1063">
      <pivotArea outline="0" fieldPosition="0">
        <references count="1">
          <reference field="4294967294" count="1">
            <x v="5"/>
          </reference>
        </references>
      </pivotArea>
    </format>
    <format dxfId="1062">
      <pivotArea outline="0" fieldPosition="0">
        <references count="1">
          <reference field="4294967294" count="1">
            <x v="6"/>
          </reference>
        </references>
      </pivotArea>
    </format>
    <format dxfId="1061">
      <pivotArea field="2" type="button" dataOnly="0" labelOnly="1" outline="0" axis="axisRow" fieldPosition="0"/>
    </format>
    <format dxfId="106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59">
      <pivotArea field="2" type="button" dataOnly="0" labelOnly="1" outline="0" axis="axisRow" fieldPosition="0"/>
    </format>
    <format dxfId="105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57">
      <pivotArea field="2" type="button" dataOnly="0" labelOnly="1" outline="0" axis="axisRow" fieldPosition="0"/>
    </format>
    <format dxfId="105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5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5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53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1E8574-016A-49A5-8433-98A1062921FE}" name="pvt_S" cacheId="2160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742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74">
        <item x="1"/>
        <item x="8"/>
        <item x="11"/>
        <item x="5"/>
        <item x="7"/>
        <item x="2"/>
        <item x="4"/>
        <item x="6"/>
        <item x="9"/>
        <item x="3"/>
        <item x="10"/>
        <item x="49"/>
        <item x="24"/>
        <item x="29"/>
        <item x="37"/>
        <item x="19"/>
        <item x="48"/>
        <item x="38"/>
        <item x="23"/>
        <item x="13"/>
        <item x="31"/>
        <item x="45"/>
        <item x="15"/>
        <item x="25"/>
        <item x="44"/>
        <item x="0"/>
        <item x="42"/>
        <item x="34"/>
        <item x="69"/>
        <item x="68"/>
        <item x="67"/>
        <item x="22"/>
        <item x="17"/>
        <item x="27"/>
        <item x="36"/>
        <item x="26"/>
        <item x="12"/>
        <item x="14"/>
        <item x="28"/>
        <item x="70"/>
        <item x="62"/>
        <item x="63"/>
        <item x="65"/>
        <item x="64"/>
        <item x="66"/>
        <item x="16"/>
        <item x="33"/>
        <item x="46"/>
        <item x="21"/>
        <item x="71"/>
        <item x="47"/>
        <item x="54"/>
        <item x="52"/>
        <item x="53"/>
        <item x="32"/>
        <item x="50"/>
        <item x="40"/>
        <item x="18"/>
        <item x="61"/>
        <item x="55"/>
        <item x="59"/>
        <item x="57"/>
        <item x="58"/>
        <item x="60"/>
        <item x="56"/>
        <item x="41"/>
        <item x="73"/>
        <item x="72"/>
        <item x="51"/>
        <item x="39"/>
        <item x="20"/>
        <item x="43"/>
        <item x="35"/>
        <item x="30"/>
      </items>
    </pivotField>
    <pivotField axis="axisRow" showAll="0" insertBlankRow="1" defaultSubtotal="0">
      <items count="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</items>
    </pivotField>
    <pivotField showAll="0" defaultSubtotal="0">
      <items count="109">
        <item x="17"/>
        <item x="87"/>
        <item x="16"/>
        <item x="12"/>
        <item x="21"/>
        <item x="59"/>
        <item x="25"/>
        <item x="88"/>
        <item x="74"/>
        <item x="80"/>
        <item x="70"/>
        <item x="23"/>
        <item x="40"/>
        <item x="24"/>
        <item x="9"/>
        <item x="8"/>
        <item x="84"/>
        <item x="81"/>
        <item x="45"/>
        <item x="82"/>
        <item x="77"/>
        <item x="56"/>
        <item x="66"/>
        <item x="89"/>
        <item x="75"/>
        <item x="57"/>
        <item x="51"/>
        <item x="62"/>
        <item x="58"/>
        <item x="90"/>
        <item x="91"/>
        <item x="92"/>
        <item x="105"/>
        <item x="43"/>
        <item x="54"/>
        <item x="55"/>
        <item x="85"/>
        <item x="83"/>
        <item x="53"/>
        <item x="93"/>
        <item x="64"/>
        <item x="94"/>
        <item x="44"/>
        <item x="72"/>
        <item x="108"/>
        <item x="95"/>
        <item x="42"/>
        <item x="96"/>
        <item x="78"/>
        <item x="97"/>
        <item x="63"/>
        <item x="98"/>
        <item x="26"/>
        <item x="49"/>
        <item x="27"/>
        <item x="31"/>
        <item x="32"/>
        <item x="106"/>
        <item x="67"/>
        <item x="30"/>
        <item x="15"/>
        <item x="11"/>
        <item x="46"/>
        <item x="68"/>
        <item x="28"/>
        <item x="73"/>
        <item x="50"/>
        <item x="10"/>
        <item x="60"/>
        <item x="61"/>
        <item x="19"/>
        <item x="7"/>
        <item x="1"/>
        <item x="33"/>
        <item x="13"/>
        <item x="41"/>
        <item x="69"/>
        <item x="76"/>
        <item x="34"/>
        <item x="99"/>
        <item x="38"/>
        <item x="36"/>
        <item x="20"/>
        <item x="100"/>
        <item x="79"/>
        <item x="48"/>
        <item x="6"/>
        <item x="47"/>
        <item x="4"/>
        <item x="29"/>
        <item x="35"/>
        <item x="18"/>
        <item x="2"/>
        <item x="0"/>
        <item x="101"/>
        <item x="52"/>
        <item x="71"/>
        <item x="102"/>
        <item x="103"/>
        <item x="22"/>
        <item x="5"/>
        <item x="37"/>
        <item x="3"/>
        <item x="39"/>
        <item x="86"/>
        <item x="107"/>
        <item x="14"/>
        <item x="65"/>
        <item x="104"/>
      </items>
    </pivotField>
    <pivotField showAll="0" defaultSubtotal="0">
      <items count="109">
        <item x="90"/>
        <item x="44"/>
        <item x="58"/>
        <item x="15"/>
        <item x="98"/>
        <item x="102"/>
        <item x="101"/>
        <item x="32"/>
        <item x="24"/>
        <item x="81"/>
        <item x="53"/>
        <item x="36"/>
        <item x="82"/>
        <item x="94"/>
        <item x="47"/>
        <item x="42"/>
        <item x="25"/>
        <item x="29"/>
        <item x="84"/>
        <item x="28"/>
        <item x="78"/>
        <item x="83"/>
        <item x="57"/>
        <item x="93"/>
        <item x="68"/>
        <item x="56"/>
        <item x="30"/>
        <item x="97"/>
        <item x="45"/>
        <item x="106"/>
        <item x="22"/>
        <item x="8"/>
        <item x="95"/>
        <item x="46"/>
        <item x="100"/>
        <item x="35"/>
        <item x="5"/>
        <item x="85"/>
        <item x="54"/>
        <item x="55"/>
        <item x="38"/>
        <item x="66"/>
        <item x="43"/>
        <item x="21"/>
        <item x="16"/>
        <item x="49"/>
        <item x="61"/>
        <item x="69"/>
        <item x="34"/>
        <item x="62"/>
        <item x="96"/>
        <item x="76"/>
        <item x="80"/>
        <item x="89"/>
        <item x="75"/>
        <item x="37"/>
        <item x="39"/>
        <item x="64"/>
        <item x="11"/>
        <item x="14"/>
        <item x="103"/>
        <item x="99"/>
        <item x="67"/>
        <item x="4"/>
        <item x="104"/>
        <item x="40"/>
        <item x="107"/>
        <item x="48"/>
        <item x="26"/>
        <item x="77"/>
        <item x="51"/>
        <item x="74"/>
        <item x="6"/>
        <item x="18"/>
        <item x="63"/>
        <item x="27"/>
        <item x="65"/>
        <item x="10"/>
        <item x="71"/>
        <item x="72"/>
        <item x="1"/>
        <item x="59"/>
        <item x="33"/>
        <item x="60"/>
        <item x="88"/>
        <item x="92"/>
        <item x="108"/>
        <item x="9"/>
        <item x="23"/>
        <item x="20"/>
        <item x="17"/>
        <item x="91"/>
        <item x="50"/>
        <item x="73"/>
        <item x="70"/>
        <item x="105"/>
        <item x="0"/>
        <item x="13"/>
        <item x="19"/>
        <item x="7"/>
        <item x="31"/>
        <item x="52"/>
        <item x="87"/>
        <item x="41"/>
        <item x="12"/>
        <item x="2"/>
        <item x="79"/>
        <item x="3"/>
        <item x="86"/>
      </items>
    </pivotField>
    <pivotField axis="axisRow" showAll="0" defaultSubtotal="0">
      <items count="109">
        <item x="17"/>
        <item x="87"/>
        <item x="16"/>
        <item x="12"/>
        <item x="21"/>
        <item x="59"/>
        <item x="25"/>
        <item x="88"/>
        <item x="74"/>
        <item x="80"/>
        <item x="70"/>
        <item x="23"/>
        <item x="40"/>
        <item x="24"/>
        <item x="9"/>
        <item x="8"/>
        <item x="84"/>
        <item x="81"/>
        <item x="45"/>
        <item x="82"/>
        <item x="77"/>
        <item x="56"/>
        <item x="66"/>
        <item x="89"/>
        <item x="75"/>
        <item x="57"/>
        <item x="51"/>
        <item x="62"/>
        <item x="58"/>
        <item x="90"/>
        <item x="91"/>
        <item x="92"/>
        <item x="105"/>
        <item x="43"/>
        <item x="54"/>
        <item x="55"/>
        <item x="85"/>
        <item x="83"/>
        <item x="53"/>
        <item x="93"/>
        <item x="64"/>
        <item x="94"/>
        <item x="44"/>
        <item x="72"/>
        <item x="108"/>
        <item x="95"/>
        <item x="42"/>
        <item x="96"/>
        <item x="78"/>
        <item x="97"/>
        <item x="63"/>
        <item x="98"/>
        <item x="26"/>
        <item x="49"/>
        <item x="27"/>
        <item x="31"/>
        <item x="32"/>
        <item x="106"/>
        <item x="67"/>
        <item x="30"/>
        <item x="15"/>
        <item x="11"/>
        <item x="46"/>
        <item x="68"/>
        <item x="28"/>
        <item x="73"/>
        <item x="50"/>
        <item x="10"/>
        <item x="60"/>
        <item x="61"/>
        <item x="19"/>
        <item x="7"/>
        <item x="1"/>
        <item x="33"/>
        <item x="13"/>
        <item x="41"/>
        <item x="69"/>
        <item x="76"/>
        <item x="34"/>
        <item x="99"/>
        <item x="38"/>
        <item x="36"/>
        <item x="20"/>
        <item x="100"/>
        <item x="79"/>
        <item x="48"/>
        <item x="6"/>
        <item x="47"/>
        <item x="4"/>
        <item x="29"/>
        <item x="35"/>
        <item x="18"/>
        <item x="2"/>
        <item x="0"/>
        <item x="101"/>
        <item x="52"/>
        <item x="71"/>
        <item x="102"/>
        <item x="103"/>
        <item x="22"/>
        <item x="5"/>
        <item x="37"/>
        <item x="3"/>
        <item x="39"/>
        <item x="86"/>
        <item x="107"/>
        <item x="14"/>
        <item x="65"/>
        <item x="104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212">
        <item x="211"/>
        <item x="210"/>
        <item x="209"/>
        <item x="207"/>
        <item x="206"/>
        <item x="205"/>
        <item x="204"/>
        <item x="208"/>
        <item x="203"/>
        <item x="202"/>
        <item x="201"/>
        <item x="200"/>
        <item x="198"/>
        <item x="193"/>
        <item x="96"/>
        <item x="55"/>
        <item x="54"/>
        <item x="53"/>
        <item x="52"/>
        <item x="51"/>
        <item x="50"/>
        <item x="92"/>
        <item x="49"/>
        <item x="48"/>
        <item x="47"/>
        <item x="46"/>
        <item x="45"/>
        <item x="95"/>
        <item x="44"/>
        <item x="69"/>
        <item x="43"/>
        <item x="42"/>
        <item x="89"/>
        <item x="68"/>
        <item x="67"/>
        <item x="66"/>
        <item x="88"/>
        <item x="83"/>
        <item x="82"/>
        <item x="41"/>
        <item x="40"/>
        <item x="65"/>
        <item x="81"/>
        <item x="111"/>
        <item x="87"/>
        <item x="86"/>
        <item x="91"/>
        <item x="64"/>
        <item x="80"/>
        <item x="79"/>
        <item x="94"/>
        <item x="63"/>
        <item x="164"/>
        <item x="78"/>
        <item x="77"/>
        <item x="62"/>
        <item x="110"/>
        <item x="76"/>
        <item x="173"/>
        <item x="105"/>
        <item x="61"/>
        <item x="133"/>
        <item x="104"/>
        <item x="153"/>
        <item x="85"/>
        <item x="150"/>
        <item x="60"/>
        <item x="75"/>
        <item x="165"/>
        <item x="195"/>
        <item x="59"/>
        <item x="171"/>
        <item x="162"/>
        <item x="152"/>
        <item x="58"/>
        <item x="74"/>
        <item x="113"/>
        <item x="90"/>
        <item x="109"/>
        <item x="112"/>
        <item x="103"/>
        <item x="161"/>
        <item x="102"/>
        <item x="101"/>
        <item x="108"/>
        <item x="126"/>
        <item x="73"/>
        <item x="188"/>
        <item x="187"/>
        <item x="186"/>
        <item x="72"/>
        <item x="192"/>
        <item x="71"/>
        <item x="93"/>
        <item x="84"/>
        <item x="125"/>
        <item x="176"/>
        <item x="132"/>
        <item x="100"/>
        <item x="124"/>
        <item x="174"/>
        <item x="180"/>
        <item x="199"/>
        <item x="57"/>
        <item x="123"/>
        <item x="194"/>
        <item x="122"/>
        <item x="166"/>
        <item x="160"/>
        <item x="121"/>
        <item x="107"/>
        <item x="131"/>
        <item x="159"/>
        <item x="163"/>
        <item x="99"/>
        <item x="56"/>
        <item x="151"/>
        <item x="98"/>
        <item x="130"/>
        <item x="170"/>
        <item x="172"/>
        <item x="120"/>
        <item x="189"/>
        <item x="191"/>
        <item x="179"/>
        <item x="129"/>
        <item x="158"/>
        <item x="97"/>
        <item x="119"/>
        <item x="128"/>
        <item x="197"/>
        <item x="149"/>
        <item x="157"/>
        <item x="148"/>
        <item x="169"/>
        <item x="118"/>
        <item x="147"/>
        <item x="146"/>
        <item x="70"/>
        <item x="185"/>
        <item x="196"/>
        <item x="145"/>
        <item x="117"/>
        <item x="116"/>
        <item x="156"/>
        <item x="184"/>
        <item x="106"/>
        <item x="168"/>
        <item x="144"/>
        <item x="183"/>
        <item x="178"/>
        <item x="143"/>
        <item x="177"/>
        <item x="115"/>
        <item x="182"/>
        <item x="175"/>
        <item x="155"/>
        <item x="142"/>
        <item x="141"/>
        <item x="140"/>
        <item x="127"/>
        <item x="190"/>
        <item x="39"/>
        <item x="167"/>
        <item x="38"/>
        <item x="154"/>
        <item x="139"/>
        <item x="138"/>
        <item x="114"/>
        <item x="181"/>
        <item x="37"/>
        <item x="36"/>
        <item x="137"/>
        <item x="136"/>
        <item x="35"/>
        <item x="34"/>
        <item x="33"/>
        <item x="32"/>
        <item x="31"/>
        <item x="30"/>
        <item x="135"/>
        <item x="29"/>
        <item x="28"/>
        <item x="27"/>
        <item x="26"/>
        <item x="25"/>
        <item x="24"/>
        <item x="23"/>
        <item x="134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356">
        <item x="342"/>
        <item x="108"/>
        <item x="235"/>
        <item x="279"/>
        <item x="107"/>
        <item x="274"/>
        <item x="181"/>
        <item x="36"/>
        <item x="130"/>
        <item x="35"/>
        <item x="143"/>
        <item x="256"/>
        <item x="159"/>
        <item x="71"/>
        <item x="142"/>
        <item x="171"/>
        <item x="16"/>
        <item x="15"/>
        <item x="141"/>
        <item x="170"/>
        <item x="34"/>
        <item x="33"/>
        <item x="94"/>
        <item x="158"/>
        <item x="49"/>
        <item x="32"/>
        <item x="242"/>
        <item x="83"/>
        <item x="14"/>
        <item x="13"/>
        <item x="118"/>
        <item x="12"/>
        <item x="82"/>
        <item x="11"/>
        <item x="31"/>
        <item x="93"/>
        <item x="129"/>
        <item x="106"/>
        <item x="60"/>
        <item x="169"/>
        <item x="137"/>
        <item x="48"/>
        <item x="10"/>
        <item x="212"/>
        <item x="105"/>
        <item x="81"/>
        <item x="136"/>
        <item x="9"/>
        <item x="92"/>
        <item x="30"/>
        <item x="29"/>
        <item x="250"/>
        <item x="128"/>
        <item x="28"/>
        <item x="80"/>
        <item x="91"/>
        <item x="151"/>
        <item x="8"/>
        <item x="47"/>
        <item x="241"/>
        <item x="127"/>
        <item x="90"/>
        <item x="27"/>
        <item x="190"/>
        <item x="59"/>
        <item x="104"/>
        <item x="70"/>
        <item x="46"/>
        <item x="126"/>
        <item x="58"/>
        <item x="168"/>
        <item x="180"/>
        <item x="79"/>
        <item x="57"/>
        <item x="89"/>
        <item x="117"/>
        <item x="140"/>
        <item x="150"/>
        <item x="135"/>
        <item x="69"/>
        <item x="139"/>
        <item x="179"/>
        <item x="167"/>
        <item x="352"/>
        <item x="45"/>
        <item x="26"/>
        <item x="178"/>
        <item x="103"/>
        <item x="166"/>
        <item x="68"/>
        <item x="134"/>
        <item x="25"/>
        <item x="44"/>
        <item x="102"/>
        <item x="7"/>
        <item x="116"/>
        <item x="173"/>
        <item x="133"/>
        <item x="165"/>
        <item x="56"/>
        <item x="249"/>
        <item x="43"/>
        <item x="24"/>
        <item x="157"/>
        <item x="223"/>
        <item x="229"/>
        <item x="88"/>
        <item x="149"/>
        <item x="164"/>
        <item x="42"/>
        <item x="125"/>
        <item x="194"/>
        <item x="67"/>
        <item x="216"/>
        <item x="324"/>
        <item x="101"/>
        <item x="336"/>
        <item x="55"/>
        <item x="23"/>
        <item x="273"/>
        <item x="22"/>
        <item x="259"/>
        <item x="66"/>
        <item x="201"/>
        <item x="163"/>
        <item x="156"/>
        <item x="124"/>
        <item x="6"/>
        <item x="78"/>
        <item x="162"/>
        <item x="294"/>
        <item x="189"/>
        <item x="148"/>
        <item x="5"/>
        <item x="200"/>
        <item x="41"/>
        <item x="353"/>
        <item x="65"/>
        <item x="228"/>
        <item x="4"/>
        <item x="234"/>
        <item x="253"/>
        <item x="155"/>
        <item x="3"/>
        <item x="295"/>
        <item x="252"/>
        <item x="265"/>
        <item x="185"/>
        <item x="258"/>
        <item x="21"/>
        <item x="40"/>
        <item x="147"/>
        <item x="154"/>
        <item x="77"/>
        <item x="333"/>
        <item x="54"/>
        <item x="100"/>
        <item x="184"/>
        <item x="188"/>
        <item x="39"/>
        <item x="20"/>
        <item x="115"/>
        <item x="87"/>
        <item x="99"/>
        <item x="227"/>
        <item x="240"/>
        <item x="215"/>
        <item x="204"/>
        <item x="114"/>
        <item x="317"/>
        <item x="76"/>
        <item x="211"/>
        <item x="113"/>
        <item x="19"/>
        <item x="146"/>
        <item x="289"/>
        <item x="98"/>
        <item x="193"/>
        <item x="199"/>
        <item x="210"/>
        <item x="305"/>
        <item x="2"/>
        <item x="138"/>
        <item x="75"/>
        <item x="209"/>
        <item x="64"/>
        <item x="86"/>
        <item x="316"/>
        <item x="267"/>
        <item x="335"/>
        <item x="303"/>
        <item x="63"/>
        <item x="172"/>
        <item x="123"/>
        <item x="262"/>
        <item x="74"/>
        <item x="233"/>
        <item x="53"/>
        <item x="271"/>
        <item x="226"/>
        <item x="177"/>
        <item x="132"/>
        <item x="198"/>
        <item x="153"/>
        <item x="278"/>
        <item x="247"/>
        <item x="145"/>
        <item x="320"/>
        <item x="97"/>
        <item x="261"/>
        <item x="214"/>
        <item x="52"/>
        <item x="122"/>
        <item x="213"/>
        <item x="232"/>
        <item x="332"/>
        <item x="112"/>
        <item x="161"/>
        <item x="187"/>
        <item x="239"/>
        <item x="38"/>
        <item x="283"/>
        <item x="315"/>
        <item x="264"/>
        <item x="312"/>
        <item x="225"/>
        <item x="37"/>
        <item x="197"/>
        <item x="355"/>
        <item x="244"/>
        <item x="293"/>
        <item x="219"/>
        <item x="196"/>
        <item x="96"/>
        <item x="208"/>
        <item x="272"/>
        <item x="176"/>
        <item x="121"/>
        <item x="175"/>
        <item x="292"/>
        <item x="192"/>
        <item x="319"/>
        <item x="270"/>
        <item x="222"/>
        <item x="203"/>
        <item x="207"/>
        <item x="183"/>
        <item x="218"/>
        <item x="277"/>
        <item x="255"/>
        <item x="260"/>
        <item x="251"/>
        <item x="304"/>
        <item x="341"/>
        <item x="297"/>
        <item x="73"/>
        <item x="221"/>
        <item x="291"/>
        <item x="286"/>
        <item x="331"/>
        <item x="62"/>
        <item x="308"/>
        <item x="285"/>
        <item x="18"/>
        <item x="1"/>
        <item x="111"/>
        <item x="72"/>
        <item x="349"/>
        <item x="282"/>
        <item x="344"/>
        <item x="314"/>
        <item x="110"/>
        <item x="206"/>
        <item x="313"/>
        <item x="237"/>
        <item x="328"/>
        <item x="347"/>
        <item x="330"/>
        <item x="236"/>
        <item x="307"/>
        <item x="322"/>
        <item x="269"/>
        <item x="288"/>
        <item x="120"/>
        <item x="217"/>
        <item x="144"/>
        <item x="311"/>
        <item x="0"/>
        <item x="343"/>
        <item x="51"/>
        <item x="329"/>
        <item x="238"/>
        <item x="346"/>
        <item x="248"/>
        <item x="109"/>
        <item x="280"/>
        <item x="231"/>
        <item x="182"/>
        <item x="160"/>
        <item x="186"/>
        <item x="340"/>
        <item x="338"/>
        <item x="281"/>
        <item x="85"/>
        <item x="299"/>
        <item x="17"/>
        <item x="310"/>
        <item x="131"/>
        <item x="321"/>
        <item x="152"/>
        <item x="302"/>
        <item x="348"/>
        <item x="327"/>
        <item x="334"/>
        <item x="61"/>
        <item x="301"/>
        <item x="268"/>
        <item x="50"/>
        <item x="318"/>
        <item x="191"/>
        <item x="345"/>
        <item x="84"/>
        <item x="230"/>
        <item x="263"/>
        <item x="202"/>
        <item x="326"/>
        <item x="257"/>
        <item x="298"/>
        <item x="205"/>
        <item x="195"/>
        <item x="174"/>
        <item x="296"/>
        <item x="224"/>
        <item x="220"/>
        <item x="284"/>
        <item x="337"/>
        <item x="351"/>
        <item x="276"/>
        <item x="354"/>
        <item x="266"/>
        <item x="287"/>
        <item x="290"/>
        <item x="95"/>
        <item x="246"/>
        <item x="119"/>
        <item x="309"/>
        <item x="254"/>
        <item x="275"/>
        <item x="245"/>
        <item x="243"/>
        <item x="306"/>
        <item x="300"/>
        <item x="325"/>
        <item x="339"/>
        <item x="323"/>
        <item x="350"/>
      </items>
    </pivotField>
    <pivotField dataField="1" showAll="0" defaultSubtotal="0">
      <items count="161">
        <item x="51"/>
        <item x="41"/>
        <item x="46"/>
        <item x="42"/>
        <item x="48"/>
        <item x="58"/>
        <item x="45"/>
        <item x="44"/>
        <item x="62"/>
        <item x="50"/>
        <item x="57"/>
        <item x="71"/>
        <item x="91"/>
        <item x="63"/>
        <item x="80"/>
        <item x="66"/>
        <item x="49"/>
        <item x="26"/>
        <item x="39"/>
        <item x="81"/>
        <item x="120"/>
        <item x="30"/>
        <item x="47"/>
        <item x="61"/>
        <item x="35"/>
        <item x="72"/>
        <item x="78"/>
        <item x="79"/>
        <item x="43"/>
        <item x="73"/>
        <item x="90"/>
        <item x="32"/>
        <item x="40"/>
        <item x="34"/>
        <item x="96"/>
        <item x="84"/>
        <item x="123"/>
        <item x="83"/>
        <item x="60"/>
        <item x="33"/>
        <item x="118"/>
        <item x="131"/>
        <item x="77"/>
        <item x="95"/>
        <item x="111"/>
        <item x="92"/>
        <item x="59"/>
        <item x="82"/>
        <item x="156"/>
        <item x="52"/>
        <item x="70"/>
        <item x="56"/>
        <item x="25"/>
        <item x="69"/>
        <item x="68"/>
        <item x="160"/>
        <item x="110"/>
        <item x="76"/>
        <item x="125"/>
        <item x="88"/>
        <item x="89"/>
        <item x="133"/>
        <item x="37"/>
        <item x="75"/>
        <item x="87"/>
        <item x="55"/>
        <item x="124"/>
        <item x="54"/>
        <item x="13"/>
        <item x="64"/>
        <item x="140"/>
        <item x="139"/>
        <item x="29"/>
        <item x="94"/>
        <item x="98"/>
        <item x="97"/>
        <item x="74"/>
        <item x="142"/>
        <item x="138"/>
        <item x="130"/>
        <item x="67"/>
        <item x="53"/>
        <item x="159"/>
        <item x="85"/>
        <item x="93"/>
        <item x="150"/>
        <item x="129"/>
        <item x="158"/>
        <item x="122"/>
        <item x="157"/>
        <item x="109"/>
        <item x="65"/>
        <item x="86"/>
        <item x="121"/>
        <item x="136"/>
        <item x="149"/>
        <item x="127"/>
        <item x="146"/>
        <item x="132"/>
        <item x="128"/>
        <item x="103"/>
        <item x="107"/>
        <item x="145"/>
        <item x="108"/>
        <item x="137"/>
        <item x="102"/>
        <item x="38"/>
        <item x="106"/>
        <item x="148"/>
        <item x="144"/>
        <item x="155"/>
        <item x="153"/>
        <item x="101"/>
        <item x="36"/>
        <item x="105"/>
        <item x="147"/>
        <item x="154"/>
        <item x="119"/>
        <item x="135"/>
        <item x="100"/>
        <item x="141"/>
        <item x="143"/>
        <item x="17"/>
        <item x="31"/>
        <item x="19"/>
        <item x="152"/>
        <item x="151"/>
        <item x="112"/>
        <item x="126"/>
        <item x="104"/>
        <item x="99"/>
        <item x="115"/>
        <item x="134"/>
        <item x="116"/>
        <item x="117"/>
        <item x="16"/>
        <item x="114"/>
        <item x="27"/>
        <item x="113"/>
        <item x="28"/>
        <item x="20"/>
        <item x="7"/>
        <item x="8"/>
        <item x="23"/>
        <item x="9"/>
        <item x="24"/>
        <item x="22"/>
        <item x="21"/>
        <item x="11"/>
        <item x="12"/>
        <item x="18"/>
        <item x="14"/>
        <item x="15"/>
        <item x="10"/>
        <item x="1"/>
        <item x="5"/>
        <item x="6"/>
        <item x="4"/>
        <item x="3"/>
        <item x="2"/>
        <item x="0"/>
      </items>
    </pivotField>
    <pivotField dataField="1" showAll="0" defaultSubtotal="0">
      <items count="598">
        <item x="49"/>
        <item x="353"/>
        <item x="92"/>
        <item x="13"/>
        <item x="141"/>
        <item x="365"/>
        <item x="246"/>
        <item x="315"/>
        <item x="108"/>
        <item x="351"/>
        <item x="160"/>
        <item x="76"/>
        <item x="172"/>
        <item x="26"/>
        <item x="59"/>
        <item x="154"/>
        <item x="267"/>
        <item x="438"/>
        <item x="40"/>
        <item x="17"/>
        <item x="19"/>
        <item x="199"/>
        <item x="80"/>
        <item x="35"/>
        <item x="96"/>
        <item x="475"/>
        <item x="296"/>
        <item x="61"/>
        <item x="144"/>
        <item x="400"/>
        <item x="307"/>
        <item x="121"/>
        <item x="31"/>
        <item x="73"/>
        <item x="171"/>
        <item x="34"/>
        <item x="390"/>
        <item x="213"/>
        <item x="16"/>
        <item x="215"/>
        <item x="150"/>
        <item x="327"/>
        <item x="260"/>
        <item x="33"/>
        <item x="208"/>
        <item x="110"/>
        <item x="44"/>
        <item x="88"/>
        <item x="382"/>
        <item x="214"/>
        <item x="250"/>
        <item x="56"/>
        <item x="126"/>
        <item x="152"/>
        <item x="343"/>
        <item x="434"/>
        <item x="372"/>
        <item x="7"/>
        <item x="8"/>
        <item x="249"/>
        <item x="25"/>
        <item x="299"/>
        <item x="574"/>
        <item x="277"/>
        <item x="153"/>
        <item x="389"/>
        <item x="297"/>
        <item x="168"/>
        <item x="97"/>
        <item x="135"/>
        <item x="228"/>
        <item x="159"/>
        <item x="9"/>
        <item x="37"/>
        <item x="71"/>
        <item x="64"/>
        <item x="350"/>
        <item x="333"/>
        <item x="474"/>
        <item x="405"/>
        <item x="360"/>
        <item x="106"/>
        <item x="201"/>
        <item x="210"/>
        <item x="244"/>
        <item x="186"/>
        <item x="62"/>
        <item x="29"/>
        <item x="338"/>
        <item x="535"/>
        <item x="86"/>
        <item x="345"/>
        <item x="119"/>
        <item x="453"/>
        <item x="137"/>
        <item x="79"/>
        <item x="557"/>
        <item x="318"/>
        <item x="592"/>
        <item x="46"/>
        <item x="428"/>
        <item x="504"/>
        <item x="516"/>
        <item x="403"/>
        <item x="77"/>
        <item x="293"/>
        <item x="431"/>
        <item x="418"/>
        <item x="55"/>
        <item x="443"/>
        <item x="123"/>
        <item x="94"/>
        <item x="454"/>
        <item x="422"/>
        <item x="393"/>
        <item x="295"/>
        <item x="226"/>
        <item x="501"/>
        <item x="200"/>
        <item x="287"/>
        <item x="145"/>
        <item x="264"/>
        <item x="432"/>
        <item x="227"/>
        <item x="498"/>
        <item x="326"/>
        <item x="122"/>
        <item x="573"/>
        <item x="11"/>
        <item x="89"/>
        <item x="138"/>
        <item x="225"/>
        <item x="12"/>
        <item x="173"/>
        <item x="276"/>
        <item x="38"/>
        <item x="67"/>
        <item x="248"/>
        <item x="556"/>
        <item x="294"/>
        <item x="325"/>
        <item x="583"/>
        <item x="43"/>
        <item x="18"/>
        <item x="366"/>
        <item x="415"/>
        <item x="220"/>
        <item x="203"/>
        <item x="238"/>
        <item x="534"/>
        <item x="167"/>
        <item x="286"/>
        <item x="300"/>
        <item x="266"/>
        <item x="229"/>
        <item x="162"/>
        <item x="492"/>
        <item x="136"/>
        <item x="317"/>
        <item x="445"/>
        <item x="284"/>
        <item x="36"/>
        <item x="187"/>
        <item x="42"/>
        <item x="476"/>
        <item x="63"/>
        <item x="379"/>
        <item x="359"/>
        <item x="298"/>
        <item x="170"/>
        <item x="151"/>
        <item x="316"/>
        <item x="14"/>
        <item x="328"/>
        <item x="417"/>
        <item x="15"/>
        <item x="10"/>
        <item x="194"/>
        <item x="176"/>
        <item x="584"/>
        <item x="185"/>
        <item x="544"/>
        <item x="323"/>
        <item x="306"/>
        <item x="234"/>
        <item x="202"/>
        <item x="537"/>
        <item x="593"/>
        <item x="448"/>
        <item x="380"/>
        <item x="197"/>
        <item x="421"/>
        <item x="163"/>
        <item x="178"/>
        <item x="258"/>
        <item x="124"/>
        <item x="32"/>
        <item x="133"/>
        <item x="283"/>
        <item x="198"/>
        <item x="30"/>
        <item x="222"/>
        <item x="352"/>
        <item x="95"/>
        <item x="496"/>
        <item x="113"/>
        <item x="274"/>
        <item x="237"/>
        <item x="166"/>
        <item x="158"/>
        <item x="460"/>
        <item x="184"/>
        <item x="196"/>
        <item x="48"/>
        <item x="456"/>
        <item x="224"/>
        <item x="364"/>
        <item x="139"/>
        <item x="109"/>
        <item x="582"/>
        <item x="409"/>
        <item x="399"/>
        <item x="376"/>
        <item x="314"/>
        <item x="132"/>
        <item x="513"/>
        <item x="81"/>
        <item x="467"/>
        <item x="275"/>
        <item x="336"/>
        <item x="408"/>
        <item x="91"/>
        <item x="212"/>
        <item x="411"/>
        <item x="337"/>
        <item x="259"/>
        <item x="311"/>
        <item x="469"/>
        <item x="60"/>
        <item x="235"/>
        <item x="285"/>
        <item x="446"/>
        <item x="517"/>
        <item x="331"/>
        <item x="247"/>
        <item x="575"/>
        <item x="430"/>
        <item x="447"/>
        <item x="93"/>
        <item x="541"/>
        <item x="427"/>
        <item x="256"/>
        <item x="503"/>
        <item x="525"/>
        <item x="149"/>
        <item x="533"/>
        <item x="223"/>
        <item x="98"/>
        <item x="581"/>
        <item x="236"/>
        <item x="82"/>
        <item x="497"/>
        <item x="313"/>
        <item x="265"/>
        <item x="486"/>
        <item x="99"/>
        <item x="305"/>
        <item x="381"/>
        <item x="555"/>
        <item x="221"/>
        <item x="335"/>
        <item x="310"/>
        <item x="324"/>
        <item x="257"/>
        <item x="195"/>
        <item x="468"/>
        <item x="483"/>
        <item x="322"/>
        <item x="74"/>
        <item x="240"/>
        <item x="273"/>
        <item x="518"/>
        <item x="514"/>
        <item x="551"/>
        <item x="560"/>
        <item x="112"/>
        <item x="595"/>
        <item x="425"/>
        <item x="175"/>
        <item x="545"/>
        <item x="455"/>
        <item x="547"/>
        <item x="530"/>
        <item x="466"/>
        <item x="211"/>
        <item x="597"/>
        <item x="219"/>
        <item x="174"/>
        <item x="155"/>
        <item x="125"/>
        <item x="594"/>
        <item x="83"/>
        <item x="554"/>
        <item x="531"/>
        <item x="479"/>
        <item x="589"/>
        <item x="232"/>
        <item x="407"/>
        <item x="107"/>
        <item x="148"/>
        <item x="426"/>
        <item x="540"/>
        <item x="536"/>
        <item x="485"/>
        <item x="269"/>
        <item x="512"/>
        <item x="262"/>
        <item x="252"/>
        <item x="480"/>
        <item x="532"/>
        <item x="588"/>
        <item x="105"/>
        <item x="559"/>
        <item x="263"/>
        <item x="441"/>
        <item x="548"/>
        <item x="378"/>
        <item x="254"/>
        <item x="397"/>
        <item x="193"/>
        <item x="1"/>
        <item x="487"/>
        <item x="374"/>
        <item x="312"/>
        <item x="292"/>
        <item x="524"/>
        <item x="111"/>
        <item x="349"/>
        <item x="416"/>
        <item x="562"/>
        <item x="321"/>
        <item x="553"/>
        <item x="169"/>
        <item x="552"/>
        <item x="377"/>
        <item x="218"/>
        <item x="334"/>
        <item x="245"/>
        <item x="255"/>
        <item x="47"/>
        <item x="5"/>
        <item x="6"/>
        <item x="183"/>
        <item x="580"/>
        <item x="491"/>
        <item x="131"/>
        <item x="332"/>
        <item x="272"/>
        <item x="465"/>
        <item x="398"/>
        <item x="444"/>
        <item x="134"/>
        <item x="27"/>
        <item x="344"/>
        <item x="58"/>
        <item x="433"/>
        <item x="375"/>
        <item x="161"/>
        <item x="281"/>
        <item x="253"/>
        <item x="587"/>
        <item x="90"/>
        <item x="511"/>
        <item x="28"/>
        <item x="191"/>
        <item x="371"/>
        <item x="233"/>
        <item x="182"/>
        <item x="181"/>
        <item x="78"/>
        <item x="567"/>
        <item x="204"/>
        <item x="192"/>
        <item x="464"/>
        <item x="304"/>
        <item x="20"/>
        <item x="495"/>
        <item x="243"/>
        <item x="452"/>
        <item x="358"/>
        <item x="572"/>
        <item x="414"/>
        <item x="291"/>
        <item x="100"/>
        <item x="529"/>
        <item x="129"/>
        <item x="396"/>
        <item x="207"/>
        <item x="190"/>
        <item x="282"/>
        <item x="4"/>
        <item x="3"/>
        <item x="130"/>
        <item x="75"/>
        <item x="348"/>
        <item x="209"/>
        <item x="147"/>
        <item x="523"/>
        <item x="356"/>
        <item x="271"/>
        <item x="561"/>
        <item x="23"/>
        <item x="494"/>
        <item x="231"/>
        <item x="420"/>
        <item x="72"/>
        <item x="484"/>
        <item x="527"/>
        <item x="57"/>
        <item x="70"/>
        <item x="413"/>
        <item x="565"/>
        <item x="357"/>
        <item x="69"/>
        <item x="387"/>
        <item x="87"/>
        <item x="120"/>
        <item x="180"/>
        <item x="478"/>
        <item x="570"/>
        <item x="451"/>
        <item x="579"/>
        <item x="303"/>
        <item x="591"/>
        <item x="385"/>
        <item x="363"/>
        <item x="50"/>
        <item x="472"/>
        <item x="102"/>
        <item x="45"/>
        <item x="439"/>
        <item x="538"/>
        <item x="330"/>
        <item x="463"/>
        <item x="347"/>
        <item x="270"/>
        <item x="442"/>
        <item x="54"/>
        <item x="395"/>
        <item x="302"/>
        <item x="189"/>
        <item x="370"/>
        <item x="386"/>
        <item x="437"/>
        <item x="280"/>
        <item x="118"/>
        <item x="406"/>
        <item x="2"/>
        <item x="206"/>
        <item x="217"/>
        <item x="309"/>
        <item x="388"/>
        <item x="459"/>
        <item x="571"/>
        <item x="179"/>
        <item x="522"/>
        <item x="143"/>
        <item x="462"/>
        <item x="429"/>
        <item x="394"/>
        <item x="24"/>
        <item x="146"/>
        <item x="507"/>
        <item x="384"/>
        <item x="473"/>
        <item x="342"/>
        <item x="279"/>
        <item x="157"/>
        <item x="489"/>
        <item x="369"/>
        <item x="290"/>
        <item x="242"/>
        <item x="341"/>
        <item x="362"/>
        <item x="22"/>
        <item x="564"/>
        <item x="85"/>
        <item x="477"/>
        <item x="320"/>
        <item x="104"/>
        <item x="520"/>
        <item x="569"/>
        <item x="502"/>
        <item x="402"/>
        <item x="65"/>
        <item x="450"/>
        <item x="566"/>
        <item x="490"/>
        <item x="127"/>
        <item x="355"/>
        <item x="440"/>
        <item x="515"/>
        <item x="577"/>
        <item x="482"/>
        <item x="412"/>
        <item x="558"/>
        <item x="156"/>
        <item x="528"/>
        <item x="458"/>
        <item x="117"/>
        <item x="510"/>
        <item x="401"/>
        <item x="241"/>
        <item x="103"/>
        <item x="41"/>
        <item x="521"/>
        <item x="116"/>
        <item x="289"/>
        <item x="368"/>
        <item x="308"/>
        <item x="505"/>
        <item x="53"/>
        <item x="205"/>
        <item x="471"/>
        <item x="500"/>
        <item x="568"/>
        <item x="340"/>
        <item x="424"/>
        <item x="52"/>
        <item x="578"/>
        <item x="165"/>
        <item x="251"/>
        <item x="539"/>
        <item x="164"/>
        <item x="436"/>
        <item x="128"/>
        <item x="506"/>
        <item x="543"/>
        <item x="449"/>
        <item x="68"/>
        <item x="550"/>
        <item x="84"/>
        <item x="301"/>
        <item x="39"/>
        <item x="361"/>
        <item x="346"/>
        <item x="499"/>
        <item x="354"/>
        <item x="509"/>
        <item x="586"/>
        <item x="392"/>
        <item x="216"/>
        <item x="0"/>
        <item x="21"/>
        <item x="177"/>
        <item x="542"/>
        <item x="142"/>
        <item x="508"/>
        <item x="461"/>
        <item x="261"/>
        <item x="590"/>
        <item x="481"/>
        <item x="268"/>
        <item x="423"/>
        <item x="373"/>
        <item x="115"/>
        <item x="230"/>
        <item x="188"/>
        <item x="576"/>
        <item x="51"/>
        <item x="383"/>
        <item x="329"/>
        <item x="66"/>
        <item x="404"/>
        <item x="278"/>
        <item x="493"/>
        <item x="288"/>
        <item x="114"/>
        <item x="339"/>
        <item x="410"/>
        <item x="239"/>
        <item x="140"/>
        <item x="526"/>
        <item x="488"/>
        <item x="319"/>
        <item x="391"/>
        <item x="596"/>
        <item x="546"/>
        <item x="101"/>
        <item x="419"/>
        <item x="470"/>
        <item x="457"/>
        <item x="435"/>
        <item x="367"/>
        <item x="563"/>
        <item x="585"/>
        <item x="519"/>
        <item x="549"/>
      </items>
    </pivotField>
    <pivotField dataField="1" showAll="0" defaultSubtotal="0">
      <items count="142">
        <item x="141"/>
        <item x="44"/>
        <item x="101"/>
        <item x="89"/>
        <item x="51"/>
        <item x="86"/>
        <item x="47"/>
        <item x="90"/>
        <item x="41"/>
        <item x="72"/>
        <item x="57"/>
        <item x="52"/>
        <item x="66"/>
        <item x="78"/>
        <item x="77"/>
        <item x="53"/>
        <item x="50"/>
        <item x="87"/>
        <item x="49"/>
        <item x="62"/>
        <item x="45"/>
        <item x="48"/>
        <item x="64"/>
        <item x="40"/>
        <item x="46"/>
        <item x="96"/>
        <item x="82"/>
        <item x="84"/>
        <item x="43"/>
        <item x="63"/>
        <item x="88"/>
        <item x="42"/>
        <item x="61"/>
        <item x="83"/>
        <item x="60"/>
        <item x="92"/>
        <item x="69"/>
        <item x="59"/>
        <item x="75"/>
        <item x="76"/>
        <item x="58"/>
        <item x="81"/>
        <item x="80"/>
        <item x="103"/>
        <item x="73"/>
        <item x="71"/>
        <item x="102"/>
        <item x="74"/>
        <item x="110"/>
        <item x="100"/>
        <item x="56"/>
        <item x="55"/>
        <item x="117"/>
        <item x="133"/>
        <item x="95"/>
        <item x="70"/>
        <item x="126"/>
        <item x="85"/>
        <item x="24"/>
        <item x="111"/>
        <item x="79"/>
        <item x="129"/>
        <item x="137"/>
        <item x="67"/>
        <item x="68"/>
        <item x="99"/>
        <item x="109"/>
        <item x="93"/>
        <item x="132"/>
        <item x="108"/>
        <item x="54"/>
        <item x="94"/>
        <item x="136"/>
        <item x="28"/>
        <item x="140"/>
        <item x="128"/>
        <item x="22"/>
        <item x="107"/>
        <item x="135"/>
        <item x="130"/>
        <item x="127"/>
        <item x="139"/>
        <item x="65"/>
        <item x="98"/>
        <item x="105"/>
        <item x="106"/>
        <item x="91"/>
        <item x="125"/>
        <item x="134"/>
        <item x="27"/>
        <item x="131"/>
        <item x="124"/>
        <item x="122"/>
        <item x="97"/>
        <item x="39"/>
        <item x="123"/>
        <item x="104"/>
        <item x="37"/>
        <item x="120"/>
        <item x="121"/>
        <item x="119"/>
        <item x="33"/>
        <item x="23"/>
        <item x="31"/>
        <item x="118"/>
        <item x="21"/>
        <item x="114"/>
        <item x="116"/>
        <item x="115"/>
        <item x="38"/>
        <item x="138"/>
        <item x="113"/>
        <item x="35"/>
        <item x="36"/>
        <item x="34"/>
        <item x="2"/>
        <item x="32"/>
        <item x="29"/>
        <item x="30"/>
        <item x="4"/>
        <item x="112"/>
        <item x="3"/>
        <item x="25"/>
        <item x="26"/>
        <item x="6"/>
        <item x="20"/>
        <item x="15"/>
        <item x="5"/>
        <item x="14"/>
        <item x="18"/>
        <item x="0"/>
        <item x="10"/>
        <item x="12"/>
        <item x="11"/>
        <item x="19"/>
        <item x="16"/>
        <item x="17"/>
        <item x="9"/>
        <item x="13"/>
        <item x="8"/>
        <item x="7"/>
        <item x="1"/>
      </items>
    </pivotField>
    <pivotField dataField="1" showAll="0" defaultSubtotal="0">
      <items count="419">
        <item x="345"/>
        <item x="291"/>
        <item x="162"/>
        <item x="225"/>
        <item x="356"/>
        <item x="279"/>
        <item x="42"/>
        <item x="351"/>
        <item x="155"/>
        <item x="125"/>
        <item x="145"/>
        <item x="220"/>
        <item x="257"/>
        <item x="176"/>
        <item x="325"/>
        <item x="304"/>
        <item x="194"/>
        <item x="205"/>
        <item x="314"/>
        <item x="144"/>
        <item x="91"/>
        <item x="107"/>
        <item x="256"/>
        <item x="415"/>
        <item x="330"/>
        <item x="323"/>
        <item x="138"/>
        <item x="208"/>
        <item x="2"/>
        <item x="167"/>
        <item x="101"/>
        <item x="255"/>
        <item x="54"/>
        <item x="271"/>
        <item x="79"/>
        <item x="24"/>
        <item x="186"/>
        <item x="152"/>
        <item x="363"/>
        <item x="4"/>
        <item x="48"/>
        <item x="100"/>
        <item x="154"/>
        <item x="215"/>
        <item x="77"/>
        <item x="353"/>
        <item x="53"/>
        <item x="129"/>
        <item x="3"/>
        <item x="296"/>
        <item x="222"/>
        <item x="240"/>
        <item x="22"/>
        <item x="84"/>
        <item x="133"/>
        <item x="199"/>
        <item x="164"/>
        <item x="170"/>
        <item x="83"/>
        <item x="188"/>
        <item x="226"/>
        <item x="58"/>
        <item x="251"/>
        <item x="88"/>
        <item x="192"/>
        <item x="44"/>
        <item x="182"/>
        <item x="113"/>
        <item x="198"/>
        <item x="184"/>
        <item x="86"/>
        <item x="238"/>
        <item x="210"/>
        <item x="408"/>
        <item x="169"/>
        <item x="27"/>
        <item x="268"/>
        <item x="94"/>
        <item x="111"/>
        <item x="6"/>
        <item x="168"/>
        <item x="126"/>
        <item x="214"/>
        <item x="274"/>
        <item x="249"/>
        <item x="15"/>
        <item x="266"/>
        <item x="280"/>
        <item x="301"/>
        <item x="5"/>
        <item x="37"/>
        <item x="39"/>
        <item x="14"/>
        <item x="252"/>
        <item x="35"/>
        <item x="18"/>
        <item x="217"/>
        <item x="177"/>
        <item x="328"/>
        <item x="277"/>
        <item x="119"/>
        <item x="270"/>
        <item x="74"/>
        <item x="55"/>
        <item x="230"/>
        <item x="283"/>
        <item x="95"/>
        <item x="203"/>
        <item x="321"/>
        <item x="216"/>
        <item x="366"/>
        <item x="118"/>
        <item x="139"/>
        <item x="0"/>
        <item x="342"/>
        <item x="294"/>
        <item x="10"/>
        <item x="60"/>
        <item x="319"/>
        <item x="31"/>
        <item x="200"/>
        <item x="23"/>
        <item x="29"/>
        <item x="165"/>
        <item x="65"/>
        <item x="285"/>
        <item x="69"/>
        <item x="21"/>
        <item x="49"/>
        <item x="227"/>
        <item x="163"/>
        <item x="63"/>
        <item x="99"/>
        <item x="201"/>
        <item x="365"/>
        <item x="36"/>
        <item x="161"/>
        <item x="121"/>
        <item x="359"/>
        <item x="287"/>
        <item x="134"/>
        <item x="206"/>
        <item x="92"/>
        <item x="250"/>
        <item x="67"/>
        <item x="173"/>
        <item x="142"/>
        <item x="12"/>
        <item x="179"/>
        <item x="258"/>
        <item x="52"/>
        <item x="236"/>
        <item x="11"/>
        <item x="286"/>
        <item x="72"/>
        <item x="193"/>
        <item x="326"/>
        <item x="158"/>
        <item x="128"/>
        <item x="102"/>
        <item x="212"/>
        <item x="131"/>
        <item x="76"/>
        <item x="196"/>
        <item x="153"/>
        <item x="71"/>
        <item x="221"/>
        <item x="403"/>
        <item x="181"/>
        <item x="159"/>
        <item x="81"/>
        <item x="191"/>
        <item x="355"/>
        <item x="117"/>
        <item x="50"/>
        <item x="82"/>
        <item x="33"/>
        <item x="34"/>
        <item x="288"/>
        <item x="348"/>
        <item x="254"/>
        <item x="97"/>
        <item x="146"/>
        <item x="64"/>
        <item x="116"/>
        <item x="32"/>
        <item x="47"/>
        <item x="229"/>
        <item x="141"/>
        <item x="66"/>
        <item x="190"/>
        <item x="246"/>
        <item x="19"/>
        <item x="140"/>
        <item x="219"/>
        <item x="109"/>
        <item x="275"/>
        <item x="80"/>
        <item x="284"/>
        <item x="16"/>
        <item x="334"/>
        <item x="180"/>
        <item x="62"/>
        <item x="305"/>
        <item x="115"/>
        <item x="108"/>
        <item x="357"/>
        <item x="378"/>
        <item x="151"/>
        <item x="46"/>
        <item x="234"/>
        <item x="318"/>
        <item x="17"/>
        <item x="262"/>
        <item x="224"/>
        <item x="30"/>
        <item x="105"/>
        <item x="204"/>
        <item x="150"/>
        <item x="241"/>
        <item x="261"/>
        <item x="273"/>
        <item x="189"/>
        <item x="9"/>
        <item x="310"/>
        <item x="269"/>
        <item x="106"/>
        <item x="149"/>
        <item x="260"/>
        <item x="174"/>
        <item x="96"/>
        <item x="358"/>
        <item x="300"/>
        <item x="13"/>
        <item x="244"/>
        <item x="8"/>
        <item x="233"/>
        <item x="187"/>
        <item x="299"/>
        <item x="290"/>
        <item x="28"/>
        <item x="61"/>
        <item x="148"/>
        <item x="45"/>
        <item x="160"/>
        <item x="243"/>
        <item x="178"/>
        <item x="320"/>
        <item x="175"/>
        <item x="298"/>
        <item x="147"/>
        <item x="78"/>
        <item x="237"/>
        <item x="171"/>
        <item x="263"/>
        <item x="213"/>
        <item x="172"/>
        <item x="309"/>
        <item x="59"/>
        <item x="104"/>
        <item x="136"/>
        <item x="317"/>
        <item x="418"/>
        <item x="362"/>
        <item x="38"/>
        <item x="231"/>
        <item x="411"/>
        <item x="297"/>
        <item x="235"/>
        <item x="93"/>
        <item x="197"/>
        <item x="346"/>
        <item x="247"/>
        <item x="43"/>
        <item x="103"/>
        <item x="336"/>
        <item x="90"/>
        <item x="127"/>
        <item x="379"/>
        <item x="114"/>
        <item x="137"/>
        <item x="332"/>
        <item x="232"/>
        <item x="157"/>
        <item x="417"/>
        <item x="7"/>
        <item x="341"/>
        <item x="73"/>
        <item x="185"/>
        <item x="406"/>
        <item x="211"/>
        <item x="25"/>
        <item x="75"/>
        <item x="370"/>
        <item x="223"/>
        <item x="371"/>
        <item x="340"/>
        <item x="242"/>
        <item x="388"/>
        <item x="364"/>
        <item x="248"/>
        <item x="156"/>
        <item x="253"/>
        <item x="313"/>
        <item x="354"/>
        <item x="218"/>
        <item x="369"/>
        <item x="343"/>
        <item x="289"/>
        <item x="26"/>
        <item x="272"/>
        <item x="350"/>
        <item x="41"/>
        <item x="57"/>
        <item x="324"/>
        <item x="316"/>
        <item x="339"/>
        <item x="56"/>
        <item x="368"/>
        <item x="402"/>
        <item x="349"/>
        <item x="295"/>
        <item x="209"/>
        <item x="267"/>
        <item x="331"/>
        <item x="344"/>
        <item x="89"/>
        <item x="239"/>
        <item x="391"/>
        <item x="303"/>
        <item x="70"/>
        <item x="416"/>
        <item x="338"/>
        <item x="361"/>
        <item x="413"/>
        <item x="40"/>
        <item x="202"/>
        <item x="135"/>
        <item x="123"/>
        <item x="166"/>
        <item x="333"/>
        <item x="195"/>
        <item x="377"/>
        <item x="322"/>
        <item x="87"/>
        <item x="293"/>
        <item x="412"/>
        <item x="207"/>
        <item x="1"/>
        <item x="228"/>
        <item x="112"/>
        <item x="380"/>
        <item x="124"/>
        <item x="395"/>
        <item x="312"/>
        <item x="307"/>
        <item x="337"/>
        <item x="311"/>
        <item x="398"/>
        <item x="335"/>
        <item x="265"/>
        <item x="308"/>
        <item x="85"/>
        <item x="68"/>
        <item x="405"/>
        <item x="409"/>
        <item x="278"/>
        <item x="376"/>
        <item x="302"/>
        <item x="387"/>
        <item x="393"/>
        <item x="384"/>
        <item x="382"/>
        <item x="122"/>
        <item x="374"/>
        <item x="264"/>
        <item x="110"/>
        <item x="315"/>
        <item x="183"/>
        <item x="259"/>
        <item x="245"/>
        <item x="397"/>
        <item x="20"/>
        <item x="51"/>
        <item x="360"/>
        <item x="414"/>
        <item x="410"/>
        <item x="132"/>
        <item x="383"/>
        <item x="372"/>
        <item x="329"/>
        <item x="352"/>
        <item x="327"/>
        <item x="390"/>
        <item x="143"/>
        <item x="98"/>
        <item x="120"/>
        <item x="386"/>
        <item x="347"/>
        <item x="381"/>
        <item x="375"/>
        <item x="281"/>
        <item x="392"/>
        <item x="292"/>
        <item x="394"/>
        <item x="407"/>
        <item x="130"/>
        <item x="306"/>
        <item x="373"/>
        <item x="401"/>
        <item x="276"/>
        <item x="399"/>
        <item x="282"/>
        <item x="404"/>
        <item x="385"/>
        <item x="367"/>
        <item x="389"/>
        <item x="396"/>
        <item x="400"/>
      </items>
    </pivotField>
    <pivotField dataField="1" showAll="0" defaultSubtotal="0">
      <items count="7">
        <item x="1"/>
        <item x="0"/>
        <item x="6"/>
        <item x="3"/>
        <item x="5"/>
        <item x="2"/>
        <item x="4"/>
      </items>
    </pivotField>
  </pivotFields>
  <rowFields count="3">
    <field x="2"/>
    <field x="6"/>
    <field x="5"/>
  </rowFields>
  <rowItems count="1741">
    <i>
      <x/>
    </i>
    <i r="1">
      <x/>
      <x v="93"/>
    </i>
    <i r="1">
      <x v="1"/>
      <x v="72"/>
    </i>
    <i r="1">
      <x v="2"/>
      <x v="92"/>
    </i>
    <i r="1">
      <x v="3"/>
      <x v="102"/>
    </i>
    <i r="1">
      <x v="4"/>
      <x v="88"/>
    </i>
    <i r="1">
      <x v="5"/>
      <x v="100"/>
    </i>
    <i r="1">
      <x v="6"/>
      <x v="86"/>
    </i>
    <i r="1">
      <x v="7"/>
      <x v="71"/>
    </i>
    <i r="1">
      <x v="8"/>
      <x v="15"/>
    </i>
    <i r="1">
      <x v="9"/>
      <x v="14"/>
    </i>
    <i r="1">
      <x v="10"/>
      <x v="67"/>
    </i>
    <i r="1">
      <x v="11"/>
      <x v="61"/>
    </i>
    <i r="1">
      <x v="12"/>
      <x v="3"/>
    </i>
    <i r="1">
      <x v="13"/>
      <x v="74"/>
    </i>
    <i r="1">
      <x v="14"/>
      <x v="106"/>
    </i>
    <i r="1">
      <x v="15"/>
      <x v="60"/>
    </i>
    <i r="1">
      <x v="16"/>
      <x v="2"/>
    </i>
    <i r="1">
      <x v="17"/>
      <x/>
    </i>
    <i r="1">
      <x v="18"/>
      <x v="91"/>
    </i>
    <i r="1">
      <x v="19"/>
      <x v="70"/>
    </i>
    <i t="blank">
      <x/>
    </i>
    <i>
      <x v="1"/>
    </i>
    <i r="1">
      <x/>
      <x v="72"/>
    </i>
    <i r="1">
      <x v="1"/>
      <x v="93"/>
    </i>
    <i r="1">
      <x v="2"/>
      <x v="102"/>
    </i>
    <i r="1">
      <x v="3"/>
      <x v="100"/>
    </i>
    <i r="1">
      <x v="4"/>
      <x v="92"/>
    </i>
    <i r="1">
      <x v="5"/>
      <x v="71"/>
    </i>
    <i r="1">
      <x v="6"/>
      <x v="74"/>
    </i>
    <i r="1">
      <x v="7"/>
      <x v="86"/>
    </i>
    <i r="1">
      <x v="8"/>
      <x v="88"/>
    </i>
    <i r="1">
      <x v="9"/>
      <x v="82"/>
    </i>
    <i r="1">
      <x v="10"/>
      <x v="70"/>
    </i>
    <i r="1">
      <x v="11"/>
      <x v="67"/>
    </i>
    <i r="1">
      <x v="12"/>
      <x v="15"/>
    </i>
    <i r="1">
      <x v="13"/>
      <x v="91"/>
    </i>
    <i r="1">
      <x v="14"/>
      <x v="14"/>
    </i>
    <i r="1">
      <x v="15"/>
      <x v="4"/>
    </i>
    <i r="1">
      <x v="16"/>
      <x v="2"/>
    </i>
    <i r="1">
      <x v="17"/>
      <x v="99"/>
    </i>
    <i r="1">
      <x v="18"/>
      <x v="3"/>
    </i>
    <i r="1">
      <x v="19"/>
      <x v="60"/>
    </i>
    <i t="blank">
      <x v="1"/>
    </i>
    <i>
      <x v="2"/>
    </i>
    <i r="1">
      <x/>
      <x v="72"/>
    </i>
    <i r="1">
      <x v="1"/>
      <x v="93"/>
    </i>
    <i r="1">
      <x v="2"/>
      <x v="15"/>
    </i>
    <i r="1">
      <x v="3"/>
      <x v="14"/>
    </i>
    <i r="1">
      <x v="4"/>
      <x v="92"/>
    </i>
    <i r="1">
      <x v="5"/>
      <x v="61"/>
    </i>
    <i r="1">
      <x v="6"/>
      <x v="3"/>
    </i>
    <i r="2">
      <x v="4"/>
    </i>
    <i r="1">
      <x v="8"/>
      <x v="71"/>
    </i>
    <i r="1">
      <x v="9"/>
      <x v="100"/>
    </i>
    <i r="1">
      <x v="10"/>
      <x v="11"/>
    </i>
    <i r="2">
      <x v="102"/>
    </i>
    <i r="1">
      <x v="12"/>
      <x v="2"/>
    </i>
    <i r="1">
      <x v="13"/>
      <x v="13"/>
    </i>
    <i r="2">
      <x v="99"/>
    </i>
    <i r="2">
      <x v="106"/>
    </i>
    <i r="1">
      <x v="16"/>
      <x v="6"/>
    </i>
    <i r="1">
      <x v="17"/>
      <x v="70"/>
    </i>
    <i r="1">
      <x v="18"/>
      <x v="67"/>
    </i>
    <i r="1">
      <x v="19"/>
      <x/>
    </i>
    <i r="2">
      <x v="74"/>
    </i>
    <i t="blank">
      <x v="2"/>
    </i>
    <i>
      <x v="3"/>
    </i>
    <i r="1">
      <x/>
      <x v="72"/>
    </i>
    <i r="1">
      <x v="1"/>
      <x v="93"/>
    </i>
    <i r="1">
      <x v="2"/>
      <x v="102"/>
    </i>
    <i r="1">
      <x v="3"/>
      <x v="92"/>
    </i>
    <i r="1">
      <x v="4"/>
      <x v="100"/>
    </i>
    <i r="1">
      <x v="5"/>
      <x v="71"/>
    </i>
    <i r="1">
      <x v="6"/>
      <x v="74"/>
    </i>
    <i r="1">
      <x v="7"/>
      <x v="88"/>
    </i>
    <i r="1">
      <x v="8"/>
      <x v="86"/>
    </i>
    <i r="1">
      <x v="9"/>
      <x v="70"/>
    </i>
    <i r="1">
      <x v="10"/>
      <x v="67"/>
    </i>
    <i r="1">
      <x v="11"/>
      <x v="52"/>
    </i>
    <i r="2">
      <x v="82"/>
    </i>
    <i r="1">
      <x v="13"/>
      <x v="15"/>
    </i>
    <i r="2">
      <x v="91"/>
    </i>
    <i r="1">
      <x v="15"/>
      <x v="3"/>
    </i>
    <i r="2">
      <x v="4"/>
    </i>
    <i r="1">
      <x v="17"/>
      <x v="2"/>
    </i>
    <i r="1">
      <x v="18"/>
      <x v="99"/>
    </i>
    <i r="1">
      <x v="19"/>
      <x v="54"/>
    </i>
    <i r="2">
      <x v="64"/>
    </i>
    <i t="blank">
      <x v="3"/>
    </i>
    <i>
      <x v="4"/>
    </i>
    <i r="1">
      <x/>
      <x v="72"/>
    </i>
    <i r="1">
      <x v="1"/>
      <x v="93"/>
    </i>
    <i r="1">
      <x v="2"/>
      <x v="71"/>
    </i>
    <i r="2">
      <x v="102"/>
    </i>
    <i r="1">
      <x v="4"/>
      <x v="100"/>
    </i>
    <i r="1">
      <x v="5"/>
      <x v="86"/>
    </i>
    <i r="1">
      <x v="6"/>
      <x v="82"/>
    </i>
    <i r="1">
      <x v="7"/>
      <x v="88"/>
    </i>
    <i r="1">
      <x v="8"/>
      <x v="74"/>
    </i>
    <i r="1">
      <x v="9"/>
      <x v="67"/>
    </i>
    <i r="1">
      <x v="10"/>
      <x v="89"/>
    </i>
    <i r="1">
      <x v="11"/>
      <x v="70"/>
    </i>
    <i r="1">
      <x v="12"/>
      <x v="59"/>
    </i>
    <i r="1">
      <x v="13"/>
      <x v="92"/>
    </i>
    <i r="1">
      <x v="14"/>
      <x v="60"/>
    </i>
    <i r="1">
      <x v="15"/>
      <x v="55"/>
    </i>
    <i r="1">
      <x v="16"/>
      <x v="64"/>
    </i>
    <i r="1">
      <x v="17"/>
      <x v="56"/>
    </i>
    <i r="1">
      <x v="18"/>
      <x v="73"/>
    </i>
    <i r="1">
      <x v="19"/>
      <x v="78"/>
    </i>
    <i r="2">
      <x v="90"/>
    </i>
    <i t="blank">
      <x v="4"/>
    </i>
    <i>
      <x v="5"/>
    </i>
    <i r="1">
      <x/>
      <x v="72"/>
    </i>
    <i r="1">
      <x v="1"/>
      <x v="93"/>
    </i>
    <i r="1">
      <x v="2"/>
      <x v="92"/>
    </i>
    <i r="1">
      <x v="3"/>
      <x v="100"/>
    </i>
    <i r="1">
      <x v="4"/>
      <x v="15"/>
    </i>
    <i r="1">
      <x v="5"/>
      <x v="102"/>
    </i>
    <i r="1">
      <x v="6"/>
      <x v="14"/>
    </i>
    <i r="1">
      <x v="7"/>
      <x v="82"/>
    </i>
    <i r="1">
      <x v="8"/>
      <x v="74"/>
    </i>
    <i r="2">
      <x v="88"/>
    </i>
    <i r="1">
      <x v="10"/>
      <x v="99"/>
    </i>
    <i r="1">
      <x v="11"/>
      <x/>
    </i>
    <i r="1">
      <x v="12"/>
      <x v="91"/>
    </i>
    <i r="1">
      <x v="13"/>
      <x v="3"/>
    </i>
    <i r="2">
      <x v="67"/>
    </i>
    <i r="1">
      <x v="15"/>
      <x v="4"/>
    </i>
    <i r="2">
      <x v="71"/>
    </i>
    <i r="1">
      <x v="17"/>
      <x v="81"/>
    </i>
    <i r="2">
      <x v="86"/>
    </i>
    <i r="1">
      <x v="19"/>
      <x v="11"/>
    </i>
    <i r="2">
      <x v="90"/>
    </i>
    <i t="blank">
      <x v="5"/>
    </i>
    <i>
      <x v="6"/>
    </i>
    <i r="1">
      <x/>
      <x v="72"/>
    </i>
    <i r="1">
      <x v="1"/>
      <x v="93"/>
    </i>
    <i r="1">
      <x v="2"/>
      <x v="86"/>
    </i>
    <i r="2">
      <x v="92"/>
    </i>
    <i r="1">
      <x v="4"/>
      <x v="102"/>
    </i>
    <i r="1">
      <x v="5"/>
      <x v="100"/>
    </i>
    <i r="1">
      <x v="6"/>
      <x v="82"/>
    </i>
    <i r="1">
      <x v="7"/>
      <x v="91"/>
    </i>
    <i r="1">
      <x v="8"/>
      <x v="74"/>
    </i>
    <i r="1">
      <x v="9"/>
      <x v="67"/>
    </i>
    <i r="1">
      <x v="10"/>
      <x v="70"/>
    </i>
    <i r="2">
      <x v="81"/>
    </i>
    <i r="2">
      <x v="101"/>
    </i>
    <i r="1">
      <x v="13"/>
      <x v="80"/>
    </i>
    <i r="1">
      <x v="14"/>
      <x v="71"/>
    </i>
    <i r="2">
      <x v="88"/>
    </i>
    <i r="1">
      <x v="16"/>
      <x v="4"/>
    </i>
    <i r="2">
      <x v="103"/>
    </i>
    <i r="1">
      <x v="18"/>
      <x v="64"/>
    </i>
    <i r="1">
      <x v="19"/>
      <x v="14"/>
    </i>
    <i r="2">
      <x v="60"/>
    </i>
    <i t="blank">
      <x v="6"/>
    </i>
    <i>
      <x v="7"/>
    </i>
    <i r="1">
      <x/>
      <x v="72"/>
    </i>
    <i r="1">
      <x v="1"/>
      <x v="93"/>
    </i>
    <i r="1">
      <x v="2"/>
      <x v="92"/>
    </i>
    <i r="1">
      <x v="3"/>
      <x v="88"/>
    </i>
    <i r="1">
      <x v="4"/>
      <x v="74"/>
    </i>
    <i r="1">
      <x v="5"/>
      <x v="100"/>
    </i>
    <i r="1">
      <x v="6"/>
      <x v="15"/>
    </i>
    <i r="1">
      <x v="7"/>
      <x v="86"/>
    </i>
    <i r="1">
      <x v="8"/>
      <x v="71"/>
    </i>
    <i r="1">
      <x v="9"/>
      <x v="4"/>
    </i>
    <i r="1">
      <x v="10"/>
      <x v="14"/>
    </i>
    <i r="1">
      <x v="11"/>
      <x v="91"/>
    </i>
    <i r="1">
      <x v="12"/>
      <x v="13"/>
    </i>
    <i r="2">
      <x v="102"/>
    </i>
    <i r="1">
      <x v="14"/>
      <x v="2"/>
    </i>
    <i r="1">
      <x v="15"/>
      <x/>
    </i>
    <i r="2">
      <x v="82"/>
    </i>
    <i r="1">
      <x v="17"/>
      <x v="11"/>
    </i>
    <i r="2">
      <x v="106"/>
    </i>
    <i r="1">
      <x v="19"/>
      <x v="12"/>
    </i>
    <i t="blank">
      <x v="7"/>
    </i>
    <i>
      <x v="8"/>
    </i>
    <i r="1">
      <x/>
      <x v="72"/>
    </i>
    <i r="1">
      <x v="1"/>
      <x v="93"/>
    </i>
    <i r="1">
      <x v="2"/>
      <x v="102"/>
    </i>
    <i r="1">
      <x v="3"/>
      <x v="100"/>
    </i>
    <i r="1">
      <x v="4"/>
      <x v="74"/>
    </i>
    <i r="1">
      <x v="5"/>
      <x v="71"/>
    </i>
    <i r="1">
      <x v="6"/>
      <x v="86"/>
    </i>
    <i r="2">
      <x v="88"/>
    </i>
    <i r="1">
      <x v="8"/>
      <x v="70"/>
    </i>
    <i r="1">
      <x v="9"/>
      <x v="75"/>
    </i>
    <i r="2">
      <x v="92"/>
    </i>
    <i r="1">
      <x v="11"/>
      <x v="67"/>
    </i>
    <i r="1">
      <x v="12"/>
      <x v="91"/>
    </i>
    <i r="1">
      <x v="13"/>
      <x v="82"/>
    </i>
    <i r="1">
      <x v="14"/>
      <x v="101"/>
    </i>
    <i r="1">
      <x v="15"/>
      <x v="55"/>
    </i>
    <i r="1">
      <x v="16"/>
      <x v="99"/>
    </i>
    <i r="1">
      <x v="17"/>
      <x v="60"/>
    </i>
    <i r="1">
      <x v="18"/>
      <x v="64"/>
    </i>
    <i r="1">
      <x v="19"/>
      <x v="90"/>
    </i>
    <i t="blank">
      <x v="8"/>
    </i>
    <i>
      <x v="9"/>
    </i>
    <i r="1">
      <x/>
      <x v="72"/>
    </i>
    <i r="1">
      <x v="1"/>
      <x v="93"/>
    </i>
    <i r="1">
      <x v="2"/>
      <x v="74"/>
    </i>
    <i r="1">
      <x v="3"/>
      <x v="102"/>
    </i>
    <i r="1">
      <x v="4"/>
      <x v="100"/>
    </i>
    <i r="1">
      <x v="5"/>
      <x v="71"/>
    </i>
    <i r="1">
      <x v="6"/>
      <x v="82"/>
    </i>
    <i r="1">
      <x v="7"/>
      <x v="92"/>
    </i>
    <i r="1">
      <x v="8"/>
      <x v="70"/>
    </i>
    <i r="1">
      <x v="9"/>
      <x v="88"/>
    </i>
    <i r="1">
      <x v="10"/>
      <x v="86"/>
    </i>
    <i r="1">
      <x v="11"/>
      <x v="91"/>
    </i>
    <i r="1">
      <x v="12"/>
      <x v="2"/>
    </i>
    <i r="1">
      <x v="13"/>
      <x v="99"/>
    </i>
    <i r="1">
      <x v="14"/>
      <x v="4"/>
    </i>
    <i r="2">
      <x v="14"/>
    </i>
    <i r="1">
      <x v="16"/>
      <x v="46"/>
    </i>
    <i r="1">
      <x v="17"/>
      <x v="81"/>
    </i>
    <i r="1">
      <x v="18"/>
      <x v="15"/>
    </i>
    <i r="1">
      <x v="19"/>
      <x v="12"/>
    </i>
    <i t="blank">
      <x v="9"/>
    </i>
    <i>
      <x v="10"/>
    </i>
    <i r="1">
      <x/>
      <x v="72"/>
    </i>
    <i r="1">
      <x v="1"/>
      <x v="93"/>
    </i>
    <i r="1">
      <x v="2"/>
      <x v="100"/>
    </i>
    <i r="1">
      <x v="3"/>
      <x v="102"/>
    </i>
    <i r="1">
      <x v="4"/>
      <x v="92"/>
    </i>
    <i r="1">
      <x v="5"/>
      <x v="67"/>
    </i>
    <i r="1">
      <x v="6"/>
      <x v="2"/>
    </i>
    <i r="2">
      <x v="70"/>
    </i>
    <i r="1">
      <x v="8"/>
      <x v="15"/>
    </i>
    <i r="1">
      <x v="9"/>
      <x v="71"/>
    </i>
    <i r="1">
      <x v="10"/>
      <x/>
    </i>
    <i r="2">
      <x v="82"/>
    </i>
    <i r="1">
      <x v="12"/>
      <x v="4"/>
    </i>
    <i r="2">
      <x v="14"/>
    </i>
    <i r="2">
      <x v="61"/>
    </i>
    <i r="2">
      <x v="86"/>
    </i>
    <i r="2">
      <x v="91"/>
    </i>
    <i r="1">
      <x v="17"/>
      <x v="99"/>
    </i>
    <i r="1">
      <x v="18"/>
      <x v="74"/>
    </i>
    <i r="1">
      <x v="19"/>
      <x v="13"/>
    </i>
    <i r="2">
      <x v="54"/>
    </i>
    <i t="blank">
      <x v="10"/>
    </i>
    <i>
      <x v="11"/>
    </i>
    <i r="1">
      <x/>
      <x v="93"/>
    </i>
    <i r="1">
      <x v="1"/>
      <x v="92"/>
    </i>
    <i r="1">
      <x v="2"/>
      <x v="72"/>
    </i>
    <i r="1">
      <x v="3"/>
      <x v="61"/>
    </i>
    <i r="1">
      <x v="4"/>
      <x v="33"/>
    </i>
    <i r="1">
      <x v="5"/>
      <x v="102"/>
    </i>
    <i r="2">
      <x v="106"/>
    </i>
    <i r="1">
      <x v="7"/>
      <x v="3"/>
    </i>
    <i r="1">
      <x v="8"/>
      <x v="15"/>
    </i>
    <i r="1">
      <x v="9"/>
      <x v="14"/>
    </i>
    <i r="2">
      <x v="71"/>
    </i>
    <i r="1">
      <x v="11"/>
      <x v="2"/>
    </i>
    <i r="1">
      <x v="12"/>
      <x v="42"/>
    </i>
    <i r="2">
      <x v="86"/>
    </i>
    <i r="2">
      <x v="88"/>
    </i>
    <i r="1">
      <x v="15"/>
      <x v="91"/>
    </i>
    <i r="1">
      <x v="16"/>
      <x/>
    </i>
    <i r="1">
      <x v="17"/>
      <x v="12"/>
    </i>
    <i r="1">
      <x v="18"/>
      <x v="4"/>
    </i>
    <i r="1">
      <x v="19"/>
      <x v="13"/>
    </i>
    <i r="2">
      <x v="100"/>
    </i>
    <i t="blank">
      <x v="11"/>
    </i>
    <i>
      <x v="12"/>
    </i>
    <i r="1">
      <x/>
      <x v="93"/>
    </i>
    <i r="1">
      <x v="1"/>
      <x v="72"/>
    </i>
    <i r="1">
      <x v="2"/>
      <x v="92"/>
    </i>
    <i r="1">
      <x v="3"/>
      <x v="102"/>
    </i>
    <i r="1">
      <x v="4"/>
      <x v="86"/>
    </i>
    <i r="1">
      <x v="5"/>
      <x v="100"/>
    </i>
    <i r="1">
      <x v="6"/>
      <x v="88"/>
    </i>
    <i r="1">
      <x v="7"/>
      <x v="15"/>
    </i>
    <i r="1">
      <x v="8"/>
      <x v="60"/>
    </i>
    <i r="1">
      <x v="9"/>
      <x v="71"/>
    </i>
    <i r="1">
      <x v="10"/>
      <x v="67"/>
    </i>
    <i r="1">
      <x v="11"/>
      <x v="14"/>
    </i>
    <i r="1">
      <x v="12"/>
      <x v="59"/>
    </i>
    <i r="1">
      <x v="13"/>
      <x v="74"/>
    </i>
    <i r="1">
      <x v="14"/>
      <x v="61"/>
    </i>
    <i r="1">
      <x v="15"/>
      <x v="82"/>
    </i>
    <i r="1">
      <x v="16"/>
      <x v="106"/>
    </i>
    <i r="1">
      <x v="17"/>
      <x v="70"/>
    </i>
    <i r="1">
      <x v="18"/>
      <x v="3"/>
    </i>
    <i r="1">
      <x v="19"/>
      <x/>
    </i>
    <i t="blank">
      <x v="12"/>
    </i>
    <i>
      <x v="13"/>
    </i>
    <i r="1">
      <x/>
      <x v="93"/>
    </i>
    <i r="1">
      <x v="1"/>
      <x v="92"/>
    </i>
    <i r="1">
      <x v="2"/>
      <x v="88"/>
    </i>
    <i r="1">
      <x v="3"/>
      <x v="100"/>
    </i>
    <i r="1">
      <x v="4"/>
      <x v="102"/>
    </i>
    <i r="1">
      <x v="5"/>
      <x v="86"/>
    </i>
    <i r="1">
      <x v="6"/>
      <x v="72"/>
    </i>
    <i r="1">
      <x v="7"/>
      <x v="106"/>
    </i>
    <i r="1">
      <x v="8"/>
      <x v="3"/>
    </i>
    <i r="1">
      <x v="9"/>
      <x v="61"/>
    </i>
    <i r="1">
      <x v="10"/>
      <x v="67"/>
    </i>
    <i r="1">
      <x v="11"/>
      <x v="2"/>
    </i>
    <i r="1">
      <x v="12"/>
      <x/>
    </i>
    <i r="2">
      <x v="15"/>
    </i>
    <i r="2">
      <x v="82"/>
    </i>
    <i r="1">
      <x v="15"/>
      <x v="71"/>
    </i>
    <i r="1">
      <x v="16"/>
      <x v="14"/>
    </i>
    <i r="1">
      <x v="17"/>
      <x v="60"/>
    </i>
    <i r="1">
      <x v="18"/>
      <x v="89"/>
    </i>
    <i r="1">
      <x v="19"/>
      <x v="59"/>
    </i>
    <i t="blank">
      <x v="13"/>
    </i>
    <i>
      <x v="14"/>
    </i>
    <i r="1">
      <x/>
      <x v="72"/>
    </i>
    <i r="1">
      <x v="1"/>
      <x v="93"/>
    </i>
    <i r="1">
      <x v="2"/>
      <x v="92"/>
    </i>
    <i r="1">
      <x v="3"/>
      <x v="86"/>
    </i>
    <i r="1">
      <x v="4"/>
      <x v="71"/>
    </i>
    <i r="1">
      <x v="5"/>
      <x v="102"/>
    </i>
    <i r="1">
      <x v="6"/>
      <x v="88"/>
    </i>
    <i r="1">
      <x v="7"/>
      <x v="33"/>
    </i>
    <i r="1">
      <x v="8"/>
      <x v="14"/>
    </i>
    <i r="1">
      <x v="9"/>
      <x v="15"/>
    </i>
    <i r="1">
      <x v="10"/>
      <x v="100"/>
    </i>
    <i r="1">
      <x v="11"/>
      <x v="74"/>
    </i>
    <i r="1">
      <x v="12"/>
      <x v="67"/>
    </i>
    <i r="1">
      <x v="13"/>
      <x v="2"/>
    </i>
    <i r="1">
      <x v="14"/>
      <x v="12"/>
    </i>
    <i r="2">
      <x v="13"/>
    </i>
    <i r="1">
      <x v="16"/>
      <x/>
    </i>
    <i r="1">
      <x v="17"/>
      <x v="91"/>
    </i>
    <i r="1">
      <x v="18"/>
      <x v="70"/>
    </i>
    <i r="1">
      <x v="19"/>
      <x v="4"/>
    </i>
    <i t="blank">
      <x v="14"/>
    </i>
    <i>
      <x v="15"/>
    </i>
    <i r="1">
      <x/>
      <x v="93"/>
    </i>
    <i r="1">
      <x v="1"/>
      <x v="92"/>
    </i>
    <i r="1">
      <x v="2"/>
      <x v="86"/>
    </i>
    <i r="1">
      <x v="3"/>
      <x v="106"/>
    </i>
    <i r="1">
      <x v="4"/>
      <x v="61"/>
    </i>
    <i r="1">
      <x v="5"/>
      <x v="71"/>
    </i>
    <i r="2">
      <x v="102"/>
    </i>
    <i r="1">
      <x v="7"/>
      <x v="100"/>
    </i>
    <i r="1">
      <x v="8"/>
      <x v="60"/>
    </i>
    <i r="1">
      <x v="9"/>
      <x v="88"/>
    </i>
    <i r="1">
      <x v="10"/>
      <x v="3"/>
    </i>
    <i r="1">
      <x v="11"/>
      <x v="14"/>
    </i>
    <i r="1">
      <x v="12"/>
      <x v="72"/>
    </i>
    <i r="1">
      <x v="13"/>
      <x v="64"/>
    </i>
    <i r="1">
      <x v="14"/>
      <x v="13"/>
    </i>
    <i r="1">
      <x v="15"/>
      <x v="2"/>
    </i>
    <i r="2">
      <x v="18"/>
    </i>
    <i r="2">
      <x v="62"/>
    </i>
    <i r="2">
      <x v="67"/>
    </i>
    <i r="2">
      <x v="91"/>
    </i>
    <i t="blank">
      <x v="15"/>
    </i>
    <i>
      <x v="16"/>
    </i>
    <i r="1">
      <x/>
      <x v="93"/>
    </i>
    <i r="1">
      <x v="1"/>
      <x v="72"/>
    </i>
    <i r="1">
      <x v="2"/>
      <x v="86"/>
    </i>
    <i r="1">
      <x v="3"/>
      <x v="3"/>
    </i>
    <i r="1">
      <x v="4"/>
      <x v="88"/>
    </i>
    <i r="2">
      <x v="92"/>
    </i>
    <i r="1">
      <x v="6"/>
      <x v="102"/>
    </i>
    <i r="1">
      <x v="7"/>
      <x v="61"/>
    </i>
    <i r="2">
      <x v="87"/>
    </i>
    <i r="1">
      <x v="9"/>
      <x v="89"/>
    </i>
    <i r="1">
      <x v="10"/>
      <x v="67"/>
    </i>
    <i r="1">
      <x v="11"/>
      <x v="59"/>
    </i>
    <i r="2">
      <x v="100"/>
    </i>
    <i r="1">
      <x v="13"/>
      <x v="106"/>
    </i>
    <i r="1">
      <x v="14"/>
      <x/>
    </i>
    <i r="1">
      <x v="15"/>
      <x v="60"/>
    </i>
    <i r="1">
      <x v="16"/>
      <x v="14"/>
    </i>
    <i r="1">
      <x v="17"/>
      <x v="85"/>
    </i>
    <i r="1">
      <x v="18"/>
      <x v="71"/>
    </i>
    <i r="1">
      <x v="19"/>
      <x v="2"/>
    </i>
    <i r="2">
      <x v="53"/>
    </i>
    <i r="2">
      <x v="64"/>
    </i>
    <i r="2">
      <x v="90"/>
    </i>
    <i t="blank">
      <x v="16"/>
    </i>
    <i>
      <x v="17"/>
    </i>
    <i r="1">
      <x/>
      <x v="93"/>
    </i>
    <i r="1">
      <x v="1"/>
      <x v="72"/>
    </i>
    <i r="1">
      <x v="2"/>
      <x v="102"/>
    </i>
    <i r="1">
      <x v="3"/>
      <x v="92"/>
    </i>
    <i r="1">
      <x v="4"/>
      <x v="100"/>
    </i>
    <i r="1">
      <x v="5"/>
      <x v="71"/>
    </i>
    <i r="1">
      <x v="6"/>
      <x v="88"/>
    </i>
    <i r="1">
      <x v="7"/>
      <x v="86"/>
    </i>
    <i r="1">
      <x v="8"/>
      <x v="74"/>
    </i>
    <i r="1">
      <x v="9"/>
      <x v="67"/>
    </i>
    <i r="1">
      <x v="10"/>
      <x v="60"/>
    </i>
    <i r="1">
      <x v="11"/>
      <x v="4"/>
    </i>
    <i r="1">
      <x v="12"/>
      <x v="70"/>
    </i>
    <i r="1">
      <x v="13"/>
      <x v="61"/>
    </i>
    <i r="1">
      <x v="14"/>
      <x v="2"/>
    </i>
    <i r="1">
      <x v="15"/>
      <x v="14"/>
    </i>
    <i r="2">
      <x v="15"/>
    </i>
    <i r="1">
      <x v="17"/>
      <x v="82"/>
    </i>
    <i r="1">
      <x v="18"/>
      <x v="13"/>
    </i>
    <i r="1">
      <x v="19"/>
      <x/>
    </i>
    <i t="blank">
      <x v="17"/>
    </i>
    <i>
      <x v="18"/>
    </i>
    <i r="1">
      <x/>
      <x v="93"/>
    </i>
    <i r="1">
      <x v="1"/>
      <x v="72"/>
    </i>
    <i r="1">
      <x v="2"/>
      <x v="92"/>
    </i>
    <i r="2">
      <x v="100"/>
    </i>
    <i r="1">
      <x v="4"/>
      <x v="88"/>
    </i>
    <i r="1">
      <x v="5"/>
      <x v="102"/>
    </i>
    <i r="1">
      <x v="6"/>
      <x v="3"/>
    </i>
    <i r="2">
      <x v="86"/>
    </i>
    <i r="1">
      <x v="8"/>
      <x v="90"/>
    </i>
    <i r="1">
      <x v="9"/>
      <x v="60"/>
    </i>
    <i r="1">
      <x v="10"/>
      <x v="67"/>
    </i>
    <i r="1">
      <x v="11"/>
      <x v="59"/>
    </i>
    <i r="1">
      <x v="12"/>
      <x v="106"/>
    </i>
    <i r="1">
      <x v="13"/>
      <x/>
    </i>
    <i r="1">
      <x v="14"/>
      <x v="14"/>
    </i>
    <i r="1">
      <x v="15"/>
      <x v="61"/>
    </i>
    <i r="1">
      <x v="16"/>
      <x v="89"/>
    </i>
    <i r="1">
      <x v="17"/>
      <x v="82"/>
    </i>
    <i r="1">
      <x v="18"/>
      <x v="4"/>
    </i>
    <i r="2">
      <x v="87"/>
    </i>
    <i t="blank">
      <x v="18"/>
    </i>
    <i>
      <x v="19"/>
    </i>
    <i r="1">
      <x/>
      <x v="93"/>
    </i>
    <i r="1">
      <x v="1"/>
      <x v="92"/>
    </i>
    <i r="1">
      <x v="2"/>
      <x v="3"/>
    </i>
    <i r="1">
      <x v="3"/>
      <x v="86"/>
    </i>
    <i r="1">
      <x v="4"/>
      <x v="72"/>
    </i>
    <i r="2">
      <x v="100"/>
    </i>
    <i r="1">
      <x v="6"/>
      <x v="15"/>
    </i>
    <i r="1">
      <x v="7"/>
      <x v="61"/>
    </i>
    <i r="1">
      <x v="8"/>
      <x v="106"/>
    </i>
    <i r="1">
      <x v="9"/>
      <x v="14"/>
    </i>
    <i r="1">
      <x v="10"/>
      <x v="102"/>
    </i>
    <i r="1">
      <x v="11"/>
      <x v="88"/>
    </i>
    <i r="1">
      <x v="12"/>
      <x v="67"/>
    </i>
    <i r="1">
      <x v="13"/>
      <x v="59"/>
    </i>
    <i r="1">
      <x v="14"/>
      <x/>
    </i>
    <i r="2">
      <x v="6"/>
    </i>
    <i r="2">
      <x v="60"/>
    </i>
    <i r="2">
      <x v="87"/>
    </i>
    <i r="1">
      <x v="18"/>
      <x v="71"/>
    </i>
    <i r="2">
      <x v="91"/>
    </i>
    <i t="blank">
      <x v="19"/>
    </i>
    <i>
      <x v="20"/>
    </i>
    <i r="1">
      <x/>
      <x v="93"/>
    </i>
    <i r="1">
      <x v="1"/>
      <x v="72"/>
    </i>
    <i r="1">
      <x v="2"/>
      <x v="92"/>
    </i>
    <i r="1">
      <x v="3"/>
      <x v="86"/>
    </i>
    <i r="1">
      <x v="4"/>
      <x v="88"/>
    </i>
    <i r="1">
      <x v="5"/>
      <x v="102"/>
    </i>
    <i r="1">
      <x v="6"/>
      <x v="100"/>
    </i>
    <i r="1">
      <x v="7"/>
      <x v="67"/>
    </i>
    <i r="1">
      <x v="8"/>
      <x v="61"/>
    </i>
    <i r="2">
      <x v="106"/>
    </i>
    <i r="1">
      <x v="10"/>
      <x v="60"/>
    </i>
    <i r="1">
      <x v="11"/>
      <x v="3"/>
    </i>
    <i r="2">
      <x v="89"/>
    </i>
    <i r="1">
      <x v="13"/>
      <x v="64"/>
    </i>
    <i r="2">
      <x v="91"/>
    </i>
    <i r="1">
      <x v="15"/>
      <x/>
    </i>
    <i r="2">
      <x v="15"/>
    </i>
    <i r="1">
      <x v="17"/>
      <x v="14"/>
    </i>
    <i r="2">
      <x v="70"/>
    </i>
    <i r="2">
      <x v="71"/>
    </i>
    <i t="blank">
      <x v="20"/>
    </i>
    <i>
      <x v="21"/>
    </i>
    <i r="1">
      <x/>
      <x v="93"/>
    </i>
    <i r="1">
      <x v="1"/>
      <x v="88"/>
    </i>
    <i r="1">
      <x v="2"/>
      <x v="92"/>
    </i>
    <i r="1">
      <x v="3"/>
      <x v="86"/>
    </i>
    <i r="1">
      <x v="4"/>
      <x v="102"/>
    </i>
    <i r="1">
      <x v="5"/>
      <x v="100"/>
    </i>
    <i r="1">
      <x v="6"/>
      <x v="72"/>
    </i>
    <i r="1">
      <x v="7"/>
      <x v="3"/>
    </i>
    <i r="1">
      <x v="8"/>
      <x v="61"/>
    </i>
    <i r="1">
      <x v="9"/>
      <x v="106"/>
    </i>
    <i r="1">
      <x v="10"/>
      <x v="14"/>
    </i>
    <i r="1">
      <x v="11"/>
      <x v="67"/>
    </i>
    <i r="1">
      <x v="12"/>
      <x v="64"/>
    </i>
    <i r="1">
      <x v="13"/>
      <x v="82"/>
    </i>
    <i r="1">
      <x v="14"/>
      <x/>
    </i>
    <i r="2">
      <x v="15"/>
    </i>
    <i r="1">
      <x v="16"/>
      <x v="60"/>
    </i>
    <i r="1">
      <x v="17"/>
      <x v="2"/>
    </i>
    <i r="2">
      <x v="59"/>
    </i>
    <i r="1">
      <x v="19"/>
      <x v="6"/>
    </i>
    <i r="2">
      <x v="85"/>
    </i>
    <i r="2">
      <x v="90"/>
    </i>
    <i t="blank">
      <x v="21"/>
    </i>
    <i>
      <x v="22"/>
    </i>
    <i r="1">
      <x/>
      <x v="93"/>
    </i>
    <i r="1">
      <x v="1"/>
      <x v="92"/>
    </i>
    <i r="1">
      <x v="2"/>
      <x v="88"/>
    </i>
    <i r="1">
      <x v="3"/>
      <x v="72"/>
    </i>
    <i r="1">
      <x v="4"/>
      <x v="102"/>
    </i>
    <i r="1">
      <x v="5"/>
      <x v="100"/>
    </i>
    <i r="1">
      <x v="6"/>
      <x v="86"/>
    </i>
    <i r="1">
      <x v="7"/>
      <x v="71"/>
    </i>
    <i r="1">
      <x v="8"/>
      <x v="61"/>
    </i>
    <i r="2">
      <x v="64"/>
    </i>
    <i r="1">
      <x v="10"/>
      <x v="106"/>
    </i>
    <i r="1">
      <x v="11"/>
      <x v="67"/>
    </i>
    <i r="1">
      <x v="12"/>
      <x v="3"/>
    </i>
    <i r="1">
      <x v="13"/>
      <x v="2"/>
    </i>
    <i r="1">
      <x v="14"/>
      <x v="82"/>
    </i>
    <i r="2">
      <x v="91"/>
    </i>
    <i r="1">
      <x v="16"/>
      <x v="60"/>
    </i>
    <i r="1">
      <x v="17"/>
      <x v="4"/>
    </i>
    <i r="1">
      <x v="18"/>
      <x v="15"/>
    </i>
    <i r="1">
      <x v="19"/>
      <x v="59"/>
    </i>
    <i t="blank">
      <x v="22"/>
    </i>
    <i>
      <x v="23"/>
    </i>
    <i r="1">
      <x/>
      <x v="93"/>
    </i>
    <i r="1">
      <x v="1"/>
      <x v="72"/>
    </i>
    <i r="1">
      <x v="2"/>
      <x v="92"/>
    </i>
    <i r="1">
      <x v="3"/>
      <x v="100"/>
    </i>
    <i r="1">
      <x v="4"/>
      <x v="102"/>
    </i>
    <i r="1">
      <x v="5"/>
      <x v="88"/>
    </i>
    <i r="1">
      <x v="6"/>
      <x v="86"/>
    </i>
    <i r="1">
      <x v="7"/>
      <x v="60"/>
    </i>
    <i r="1">
      <x v="8"/>
      <x v="14"/>
    </i>
    <i r="1">
      <x v="9"/>
      <x v="61"/>
    </i>
    <i r="1">
      <x v="10"/>
      <x v="71"/>
    </i>
    <i r="1">
      <x v="11"/>
      <x v="4"/>
    </i>
    <i r="2">
      <x v="59"/>
    </i>
    <i r="1">
      <x v="13"/>
      <x v="15"/>
    </i>
    <i r="1">
      <x v="14"/>
      <x v="2"/>
    </i>
    <i r="1">
      <x v="15"/>
      <x/>
    </i>
    <i r="2">
      <x v="82"/>
    </i>
    <i r="1">
      <x v="17"/>
      <x v="106"/>
    </i>
    <i r="1">
      <x v="18"/>
      <x v="91"/>
    </i>
    <i r="1">
      <x v="19"/>
      <x v="67"/>
    </i>
    <i t="blank">
      <x v="23"/>
    </i>
    <i>
      <x v="24"/>
    </i>
    <i r="1">
      <x/>
      <x v="93"/>
    </i>
    <i r="1">
      <x v="1"/>
      <x v="18"/>
    </i>
    <i r="1">
      <x v="2"/>
      <x v="92"/>
    </i>
    <i r="1">
      <x v="3"/>
      <x v="3"/>
    </i>
    <i r="1">
      <x v="4"/>
      <x v="61"/>
    </i>
    <i r="2">
      <x v="72"/>
    </i>
    <i r="2">
      <x v="86"/>
    </i>
    <i r="1">
      <x v="7"/>
      <x v="55"/>
    </i>
    <i r="2">
      <x v="88"/>
    </i>
    <i r="2">
      <x v="102"/>
    </i>
    <i r="1">
      <x v="10"/>
      <x v="87"/>
    </i>
    <i r="1">
      <x v="11"/>
      <x v="71"/>
    </i>
    <i r="2">
      <x v="100"/>
    </i>
    <i r="1">
      <x v="13"/>
      <x/>
    </i>
    <i r="2">
      <x v="62"/>
    </i>
    <i r="2">
      <x v="67"/>
    </i>
    <i r="2">
      <x v="91"/>
    </i>
    <i r="1">
      <x v="17"/>
      <x v="14"/>
    </i>
    <i r="2">
      <x v="64"/>
    </i>
    <i r="2">
      <x v="73"/>
    </i>
    <i r="2">
      <x v="106"/>
    </i>
    <i t="blank">
      <x v="24"/>
    </i>
    <i>
      <x v="25"/>
    </i>
    <i r="1">
      <x/>
      <x v="93"/>
    </i>
    <i r="1">
      <x v="1"/>
      <x v="72"/>
    </i>
    <i r="1">
      <x v="2"/>
      <x v="92"/>
    </i>
    <i r="1">
      <x v="3"/>
      <x v="102"/>
    </i>
    <i r="1">
      <x v="4"/>
      <x v="100"/>
    </i>
    <i r="1">
      <x v="5"/>
      <x v="4"/>
    </i>
    <i r="2">
      <x v="61"/>
    </i>
    <i r="2">
      <x v="106"/>
    </i>
    <i r="1">
      <x v="8"/>
      <x v="67"/>
    </i>
    <i r="2">
      <x v="86"/>
    </i>
    <i r="1">
      <x v="10"/>
      <x v="64"/>
    </i>
    <i r="1">
      <x v="11"/>
      <x v="88"/>
    </i>
    <i r="1">
      <x v="12"/>
      <x v="73"/>
    </i>
    <i r="1">
      <x v="13"/>
      <x v="3"/>
    </i>
    <i r="1">
      <x v="14"/>
      <x v="2"/>
    </i>
    <i r="2">
      <x v="91"/>
    </i>
    <i r="2">
      <x v="99"/>
    </i>
    <i r="1">
      <x v="17"/>
      <x v="71"/>
    </i>
    <i r="1">
      <x v="18"/>
      <x v="14"/>
    </i>
    <i r="2">
      <x v="60"/>
    </i>
    <i t="blank">
      <x v="25"/>
    </i>
    <i>
      <x v="26"/>
    </i>
    <i r="1">
      <x/>
      <x v="93"/>
    </i>
    <i r="1">
      <x v="1"/>
      <x v="92"/>
    </i>
    <i r="1">
      <x v="2"/>
      <x v="72"/>
    </i>
    <i r="1">
      <x v="3"/>
      <x v="86"/>
    </i>
    <i r="1">
      <x v="4"/>
      <x v="88"/>
    </i>
    <i r="1">
      <x v="5"/>
      <x v="106"/>
    </i>
    <i r="1">
      <x v="6"/>
      <x/>
    </i>
    <i r="1">
      <x v="7"/>
      <x v="102"/>
    </i>
    <i r="1">
      <x v="8"/>
      <x v="18"/>
    </i>
    <i r="1">
      <x v="9"/>
      <x v="3"/>
    </i>
    <i r="1">
      <x v="10"/>
      <x v="15"/>
    </i>
    <i r="1">
      <x v="11"/>
      <x v="61"/>
    </i>
    <i r="2">
      <x v="100"/>
    </i>
    <i r="1">
      <x v="13"/>
      <x v="60"/>
    </i>
    <i r="2">
      <x v="67"/>
    </i>
    <i r="1">
      <x v="15"/>
      <x v="14"/>
    </i>
    <i r="1">
      <x v="16"/>
      <x v="2"/>
    </i>
    <i r="1">
      <x v="17"/>
      <x v="64"/>
    </i>
    <i r="1">
      <x v="18"/>
      <x v="66"/>
    </i>
    <i r="1">
      <x v="19"/>
      <x v="99"/>
    </i>
    <i t="blank">
      <x v="26"/>
    </i>
    <i>
      <x v="27"/>
    </i>
    <i r="1">
      <x/>
      <x v="93"/>
    </i>
    <i r="1">
      <x v="1"/>
      <x v="72"/>
    </i>
    <i r="1">
      <x v="2"/>
      <x v="100"/>
    </i>
    <i r="1">
      <x v="3"/>
      <x v="102"/>
    </i>
    <i r="1">
      <x v="4"/>
      <x v="92"/>
    </i>
    <i r="1">
      <x v="5"/>
      <x v="88"/>
    </i>
    <i r="1">
      <x v="6"/>
      <x v="71"/>
    </i>
    <i r="1">
      <x v="7"/>
      <x v="86"/>
    </i>
    <i r="1">
      <x v="8"/>
      <x v="15"/>
    </i>
    <i r="1">
      <x v="9"/>
      <x v="74"/>
    </i>
    <i r="1">
      <x v="10"/>
      <x v="99"/>
    </i>
    <i r="1">
      <x v="11"/>
      <x v="14"/>
    </i>
    <i r="1">
      <x v="12"/>
      <x v="70"/>
    </i>
    <i r="1">
      <x v="13"/>
      <x v="67"/>
    </i>
    <i r="2">
      <x v="106"/>
    </i>
    <i r="1">
      <x v="15"/>
      <x v="61"/>
    </i>
    <i r="2">
      <x v="73"/>
    </i>
    <i r="1">
      <x v="17"/>
      <x v="82"/>
    </i>
    <i r="1">
      <x v="18"/>
      <x v="2"/>
    </i>
    <i r="1">
      <x v="19"/>
      <x v="64"/>
    </i>
    <i t="blank">
      <x v="27"/>
    </i>
    <i>
      <x v="28"/>
    </i>
    <i r="1">
      <x/>
      <x v="72"/>
    </i>
    <i r="1">
      <x v="1"/>
      <x v="93"/>
    </i>
    <i r="1">
      <x v="2"/>
      <x v="88"/>
    </i>
    <i r="1">
      <x v="3"/>
      <x v="92"/>
    </i>
    <i r="2">
      <x v="102"/>
    </i>
    <i r="1">
      <x v="5"/>
      <x v="86"/>
    </i>
    <i r="1">
      <x v="6"/>
      <x v="100"/>
    </i>
    <i r="1">
      <x v="7"/>
      <x v="71"/>
    </i>
    <i r="1">
      <x v="8"/>
      <x v="74"/>
    </i>
    <i r="1">
      <x v="9"/>
      <x v="33"/>
    </i>
    <i r="1">
      <x v="10"/>
      <x v="14"/>
    </i>
    <i r="1">
      <x v="11"/>
      <x v="12"/>
    </i>
    <i r="2">
      <x v="67"/>
    </i>
    <i r="1">
      <x v="13"/>
      <x v="15"/>
    </i>
    <i r="1">
      <x v="14"/>
      <x v="59"/>
    </i>
    <i r="1">
      <x v="15"/>
      <x v="2"/>
    </i>
    <i r="1">
      <x v="16"/>
      <x/>
    </i>
    <i r="1">
      <x v="17"/>
      <x v="70"/>
    </i>
    <i r="2">
      <x v="91"/>
    </i>
    <i r="1">
      <x v="19"/>
      <x v="4"/>
    </i>
    <i t="blank">
      <x v="28"/>
    </i>
    <i>
      <x v="29"/>
    </i>
    <i r="1">
      <x/>
      <x v="93"/>
    </i>
    <i r="1">
      <x v="1"/>
      <x v="88"/>
    </i>
    <i r="1">
      <x v="2"/>
      <x v="92"/>
    </i>
    <i r="1">
      <x v="3"/>
      <x v="86"/>
    </i>
    <i r="1">
      <x v="4"/>
      <x v="72"/>
    </i>
    <i r="1">
      <x v="5"/>
      <x v="102"/>
    </i>
    <i r="1">
      <x v="6"/>
      <x v="100"/>
    </i>
    <i r="1">
      <x v="7"/>
      <x v="67"/>
    </i>
    <i r="1">
      <x v="8"/>
      <x v="70"/>
    </i>
    <i r="1">
      <x v="9"/>
      <x v="91"/>
    </i>
    <i r="1">
      <x v="10"/>
      <x v="55"/>
    </i>
    <i r="1">
      <x v="11"/>
      <x v="14"/>
    </i>
    <i r="1">
      <x v="12"/>
      <x v="61"/>
    </i>
    <i r="1">
      <x v="13"/>
      <x v="60"/>
    </i>
    <i r="1">
      <x v="14"/>
      <x v="74"/>
    </i>
    <i r="1">
      <x v="15"/>
      <x v="99"/>
    </i>
    <i r="1">
      <x v="16"/>
      <x v="3"/>
    </i>
    <i r="1">
      <x v="17"/>
      <x v="71"/>
    </i>
    <i r="1">
      <x v="18"/>
      <x v="64"/>
    </i>
    <i r="1">
      <x v="19"/>
      <x v="2"/>
    </i>
    <i r="2">
      <x v="15"/>
    </i>
    <i t="blank">
      <x v="29"/>
    </i>
    <i>
      <x v="30"/>
    </i>
    <i r="1">
      <x/>
      <x v="72"/>
    </i>
    <i r="1">
      <x v="1"/>
      <x v="93"/>
    </i>
    <i r="1">
      <x v="2"/>
      <x v="88"/>
    </i>
    <i r="1">
      <x v="3"/>
      <x v="92"/>
    </i>
    <i r="1">
      <x v="4"/>
      <x v="86"/>
    </i>
    <i r="1">
      <x v="5"/>
      <x v="102"/>
    </i>
    <i r="1">
      <x v="6"/>
      <x v="71"/>
    </i>
    <i r="2">
      <x v="89"/>
    </i>
    <i r="1">
      <x v="8"/>
      <x v="100"/>
    </i>
    <i r="1">
      <x v="9"/>
      <x v="91"/>
    </i>
    <i r="1">
      <x v="10"/>
      <x v="14"/>
    </i>
    <i r="2">
      <x v="67"/>
    </i>
    <i r="1">
      <x v="12"/>
      <x v="70"/>
    </i>
    <i r="1">
      <x v="13"/>
      <x v="4"/>
    </i>
    <i r="2">
      <x v="60"/>
    </i>
    <i r="1">
      <x v="15"/>
      <x v="74"/>
    </i>
    <i r="1">
      <x v="16"/>
      <x v="73"/>
    </i>
    <i r="1">
      <x v="17"/>
      <x v="13"/>
    </i>
    <i r="2">
      <x v="59"/>
    </i>
    <i r="2">
      <x v="82"/>
    </i>
    <i t="blank">
      <x v="30"/>
    </i>
    <i>
      <x v="31"/>
    </i>
    <i r="1">
      <x/>
      <x v="72"/>
    </i>
    <i r="1">
      <x v="1"/>
      <x v="71"/>
    </i>
    <i r="1">
      <x v="2"/>
      <x v="93"/>
    </i>
    <i r="1">
      <x v="3"/>
      <x v="88"/>
    </i>
    <i r="2">
      <x v="100"/>
    </i>
    <i r="1">
      <x v="5"/>
      <x v="92"/>
    </i>
    <i r="1">
      <x v="6"/>
      <x v="102"/>
    </i>
    <i r="1">
      <x v="7"/>
      <x v="26"/>
    </i>
    <i r="2">
      <x v="74"/>
    </i>
    <i r="1">
      <x v="9"/>
      <x v="12"/>
    </i>
    <i r="1">
      <x v="10"/>
      <x v="15"/>
    </i>
    <i r="1">
      <x v="11"/>
      <x v="86"/>
    </i>
    <i r="1">
      <x v="12"/>
      <x v="2"/>
    </i>
    <i r="2">
      <x v="61"/>
    </i>
    <i r="1">
      <x v="14"/>
      <x v="91"/>
    </i>
    <i r="1">
      <x v="15"/>
      <x v="70"/>
    </i>
    <i r="2">
      <x v="106"/>
    </i>
    <i r="1">
      <x v="17"/>
      <x v="4"/>
    </i>
    <i r="2">
      <x v="33"/>
    </i>
    <i r="2">
      <x v="99"/>
    </i>
    <i t="blank">
      <x v="31"/>
    </i>
    <i>
      <x v="32"/>
    </i>
    <i r="1">
      <x/>
      <x v="93"/>
    </i>
    <i r="1">
      <x v="1"/>
      <x v="60"/>
    </i>
    <i r="1">
      <x v="2"/>
      <x v="92"/>
    </i>
    <i r="2">
      <x v="102"/>
    </i>
    <i r="1">
      <x v="4"/>
      <x v="100"/>
    </i>
    <i r="1">
      <x v="5"/>
      <x v="72"/>
    </i>
    <i r="1">
      <x v="6"/>
      <x v="3"/>
    </i>
    <i r="1">
      <x v="7"/>
      <x v="61"/>
    </i>
    <i r="2">
      <x v="88"/>
    </i>
    <i r="1">
      <x v="9"/>
      <x v="86"/>
    </i>
    <i r="1">
      <x v="10"/>
      <x v="71"/>
    </i>
    <i r="1">
      <x v="11"/>
      <x/>
    </i>
    <i r="2">
      <x v="67"/>
    </i>
    <i r="1">
      <x v="13"/>
      <x v="14"/>
    </i>
    <i r="2">
      <x v="15"/>
    </i>
    <i r="1">
      <x v="15"/>
      <x v="2"/>
    </i>
    <i r="1">
      <x v="16"/>
      <x v="91"/>
    </i>
    <i r="2">
      <x v="99"/>
    </i>
    <i r="1">
      <x v="18"/>
      <x v="89"/>
    </i>
    <i r="1">
      <x v="19"/>
      <x v="13"/>
    </i>
    <i r="2">
      <x v="82"/>
    </i>
    <i t="blank">
      <x v="32"/>
    </i>
    <i>
      <x v="33"/>
    </i>
    <i r="1">
      <x/>
      <x v="72"/>
    </i>
    <i r="1">
      <x v="1"/>
      <x v="93"/>
    </i>
    <i r="1">
      <x v="2"/>
      <x v="88"/>
    </i>
    <i r="1">
      <x v="3"/>
      <x v="71"/>
    </i>
    <i r="2">
      <x v="100"/>
    </i>
    <i r="1">
      <x v="5"/>
      <x v="102"/>
    </i>
    <i r="1">
      <x v="6"/>
      <x v="74"/>
    </i>
    <i r="1">
      <x v="7"/>
      <x v="86"/>
    </i>
    <i r="1">
      <x v="8"/>
      <x v="92"/>
    </i>
    <i r="1">
      <x v="9"/>
      <x v="15"/>
    </i>
    <i r="1">
      <x v="10"/>
      <x v="14"/>
    </i>
    <i r="1">
      <x v="11"/>
      <x v="13"/>
    </i>
    <i r="1">
      <x v="12"/>
      <x v="12"/>
    </i>
    <i r="1">
      <x v="13"/>
      <x v="4"/>
    </i>
    <i r="1">
      <x v="14"/>
      <x v="2"/>
    </i>
    <i r="1">
      <x v="15"/>
      <x/>
    </i>
    <i r="1">
      <x v="16"/>
      <x v="91"/>
    </i>
    <i r="1">
      <x v="17"/>
      <x v="67"/>
    </i>
    <i r="1">
      <x v="18"/>
      <x v="60"/>
    </i>
    <i r="2">
      <x v="70"/>
    </i>
    <i r="2">
      <x v="106"/>
    </i>
    <i t="blank">
      <x v="33"/>
    </i>
    <i>
      <x v="34"/>
    </i>
    <i r="1">
      <x/>
      <x v="72"/>
    </i>
    <i r="1">
      <x v="1"/>
      <x v="93"/>
    </i>
    <i r="1">
      <x v="2"/>
      <x v="74"/>
    </i>
    <i r="1">
      <x v="3"/>
      <x v="71"/>
    </i>
    <i r="1">
      <x v="4"/>
      <x v="102"/>
    </i>
    <i r="1">
      <x v="5"/>
      <x v="92"/>
    </i>
    <i r="1">
      <x v="6"/>
      <x v="100"/>
    </i>
    <i r="1">
      <x v="7"/>
      <x v="86"/>
    </i>
    <i r="1">
      <x v="8"/>
      <x v="88"/>
    </i>
    <i r="1">
      <x v="9"/>
      <x v="2"/>
    </i>
    <i r="1">
      <x v="10"/>
      <x v="13"/>
    </i>
    <i r="2">
      <x v="14"/>
    </i>
    <i r="2">
      <x v="60"/>
    </i>
    <i r="1">
      <x v="13"/>
      <x v="4"/>
    </i>
    <i r="2">
      <x v="73"/>
    </i>
    <i r="2">
      <x v="91"/>
    </i>
    <i r="1">
      <x v="16"/>
      <x v="12"/>
    </i>
    <i r="2">
      <x v="106"/>
    </i>
    <i r="1">
      <x v="18"/>
      <x v="59"/>
    </i>
    <i r="1">
      <x v="19"/>
      <x v="15"/>
    </i>
    <i t="blank">
      <x v="34"/>
    </i>
    <i>
      <x v="35"/>
    </i>
    <i r="1">
      <x/>
      <x v="72"/>
    </i>
    <i r="1">
      <x v="1"/>
      <x v="74"/>
    </i>
    <i r="1">
      <x v="2"/>
      <x v="71"/>
    </i>
    <i r="1">
      <x v="3"/>
      <x v="100"/>
    </i>
    <i r="1">
      <x v="4"/>
      <x v="93"/>
    </i>
    <i r="1">
      <x v="5"/>
      <x v="15"/>
    </i>
    <i r="1">
      <x v="6"/>
      <x v="12"/>
    </i>
    <i r="1">
      <x v="7"/>
      <x v="13"/>
    </i>
    <i r="2">
      <x v="14"/>
    </i>
    <i r="2">
      <x v="86"/>
    </i>
    <i r="1">
      <x v="10"/>
      <x v="92"/>
    </i>
    <i r="1">
      <x v="11"/>
      <x v="46"/>
    </i>
    <i r="1">
      <x v="12"/>
      <x v="102"/>
    </i>
    <i r="1">
      <x v="13"/>
      <x v="4"/>
    </i>
    <i r="2">
      <x v="82"/>
    </i>
    <i r="1">
      <x v="15"/>
      <x v="88"/>
    </i>
    <i r="1">
      <x v="16"/>
      <x v="81"/>
    </i>
    <i r="1">
      <x v="17"/>
      <x v="2"/>
    </i>
    <i r="2">
      <x v="61"/>
    </i>
    <i r="1">
      <x v="19"/>
      <x v="60"/>
    </i>
    <i r="2">
      <x v="106"/>
    </i>
    <i t="blank">
      <x v="35"/>
    </i>
    <i>
      <x v="36"/>
    </i>
    <i r="1">
      <x/>
      <x v="93"/>
    </i>
    <i r="1">
      <x v="1"/>
      <x v="72"/>
    </i>
    <i r="1">
      <x v="2"/>
      <x v="15"/>
    </i>
    <i r="1">
      <x v="3"/>
      <x v="14"/>
    </i>
    <i r="1">
      <x v="4"/>
      <x v="71"/>
    </i>
    <i r="1">
      <x v="5"/>
      <x v="102"/>
    </i>
    <i r="1">
      <x v="6"/>
      <x v="92"/>
    </i>
    <i r="1">
      <x v="7"/>
      <x v="4"/>
    </i>
    <i r="1">
      <x v="8"/>
      <x v="88"/>
    </i>
    <i r="1">
      <x v="9"/>
      <x v="2"/>
    </i>
    <i r="1">
      <x v="10"/>
      <x v="74"/>
    </i>
    <i r="1">
      <x v="11"/>
      <x/>
    </i>
    <i r="2">
      <x v="3"/>
    </i>
    <i r="2">
      <x v="100"/>
    </i>
    <i r="1">
      <x v="14"/>
      <x v="91"/>
    </i>
    <i r="1">
      <x v="15"/>
      <x v="13"/>
    </i>
    <i r="1">
      <x v="16"/>
      <x v="61"/>
    </i>
    <i r="1">
      <x v="17"/>
      <x v="12"/>
    </i>
    <i r="1">
      <x v="18"/>
      <x v="11"/>
    </i>
    <i r="1">
      <x v="19"/>
      <x v="67"/>
    </i>
    <i r="2">
      <x v="70"/>
    </i>
    <i t="blank">
      <x v="36"/>
    </i>
    <i>
      <x v="37"/>
    </i>
    <i r="1">
      <x/>
      <x v="93"/>
    </i>
    <i r="1">
      <x v="1"/>
      <x v="72"/>
    </i>
    <i r="1">
      <x v="2"/>
      <x v="92"/>
    </i>
    <i r="1">
      <x v="3"/>
      <x v="100"/>
    </i>
    <i r="1">
      <x v="4"/>
      <x v="71"/>
    </i>
    <i r="2">
      <x v="88"/>
    </i>
    <i r="1">
      <x v="6"/>
      <x v="102"/>
    </i>
    <i r="1">
      <x v="7"/>
      <x v="61"/>
    </i>
    <i r="1">
      <x v="8"/>
      <x v="86"/>
    </i>
    <i r="1">
      <x v="9"/>
      <x v="95"/>
    </i>
    <i r="1">
      <x v="10"/>
      <x v="15"/>
    </i>
    <i r="1">
      <x v="11"/>
      <x v="67"/>
    </i>
    <i r="1">
      <x v="12"/>
      <x v="14"/>
    </i>
    <i r="2">
      <x v="99"/>
    </i>
    <i r="1">
      <x v="14"/>
      <x v="70"/>
    </i>
    <i r="2">
      <x v="82"/>
    </i>
    <i r="1">
      <x v="16"/>
      <x v="60"/>
    </i>
    <i r="2">
      <x v="74"/>
    </i>
    <i r="2">
      <x v="91"/>
    </i>
    <i r="1">
      <x v="19"/>
      <x v="3"/>
    </i>
    <i t="blank">
      <x v="37"/>
    </i>
    <i>
      <x v="38"/>
    </i>
    <i r="1">
      <x/>
      <x v="93"/>
    </i>
    <i r="1">
      <x v="1"/>
      <x v="92"/>
    </i>
    <i r="1">
      <x v="2"/>
      <x v="72"/>
    </i>
    <i r="1">
      <x v="3"/>
      <x v="102"/>
    </i>
    <i r="1">
      <x v="4"/>
      <x v="100"/>
    </i>
    <i r="1">
      <x v="5"/>
      <x v="3"/>
    </i>
    <i r="1">
      <x v="6"/>
      <x/>
    </i>
    <i r="2">
      <x v="73"/>
    </i>
    <i r="1">
      <x v="8"/>
      <x v="67"/>
    </i>
    <i r="2">
      <x v="86"/>
    </i>
    <i r="1">
      <x v="10"/>
      <x v="106"/>
    </i>
    <i r="1">
      <x v="11"/>
      <x v="59"/>
    </i>
    <i r="1">
      <x v="12"/>
      <x v="55"/>
    </i>
    <i r="1">
      <x v="13"/>
      <x v="64"/>
    </i>
    <i r="2">
      <x v="88"/>
    </i>
    <i r="1">
      <x v="15"/>
      <x v="15"/>
    </i>
    <i r="2">
      <x v="71"/>
    </i>
    <i r="1">
      <x v="17"/>
      <x v="2"/>
    </i>
    <i r="2">
      <x v="82"/>
    </i>
    <i r="1">
      <x v="19"/>
      <x v="14"/>
    </i>
    <i t="blank">
      <x v="38"/>
    </i>
    <i>
      <x v="39"/>
    </i>
    <i r="1">
      <x/>
      <x v="93"/>
    </i>
    <i r="1">
      <x v="1"/>
      <x v="92"/>
    </i>
    <i r="1">
      <x v="2"/>
      <x v="102"/>
    </i>
    <i r="1">
      <x v="3"/>
      <x v="72"/>
    </i>
    <i r="1">
      <x v="4"/>
      <x v="100"/>
    </i>
    <i r="1">
      <x v="5"/>
      <x v="14"/>
    </i>
    <i r="2">
      <x v="86"/>
    </i>
    <i r="2">
      <x v="88"/>
    </i>
    <i r="1">
      <x v="8"/>
      <x v="70"/>
    </i>
    <i r="1">
      <x v="9"/>
      <x v="106"/>
    </i>
    <i r="1">
      <x v="10"/>
      <x v="74"/>
    </i>
    <i r="2">
      <x v="91"/>
    </i>
    <i r="1">
      <x v="12"/>
      <x v="15"/>
    </i>
    <i r="1">
      <x v="13"/>
      <x v="71"/>
    </i>
    <i r="2">
      <x v="82"/>
    </i>
    <i r="1">
      <x v="15"/>
      <x v="95"/>
    </i>
    <i r="2">
      <x v="99"/>
    </i>
    <i r="1">
      <x v="17"/>
      <x v="3"/>
    </i>
    <i r="2">
      <x v="12"/>
    </i>
    <i r="2">
      <x v="67"/>
    </i>
    <i t="blank">
      <x v="39"/>
    </i>
    <i>
      <x v="40"/>
    </i>
    <i r="1">
      <x/>
      <x v="33"/>
    </i>
    <i r="2">
      <x v="72"/>
    </i>
    <i r="1">
      <x v="2"/>
      <x v="71"/>
    </i>
    <i r="1">
      <x v="3"/>
      <x v="15"/>
    </i>
    <i r="1">
      <x v="4"/>
      <x v="93"/>
    </i>
    <i r="2">
      <x v="106"/>
    </i>
    <i r="1">
      <x v="6"/>
      <x v="14"/>
    </i>
    <i r="2">
      <x v="92"/>
    </i>
    <i r="1">
      <x v="8"/>
      <x v="12"/>
    </i>
    <i r="1">
      <x v="9"/>
      <x v="61"/>
    </i>
    <i r="2">
      <x v="88"/>
    </i>
    <i r="1">
      <x v="11"/>
      <x v="13"/>
    </i>
    <i r="2">
      <x v="38"/>
    </i>
    <i r="1">
      <x v="13"/>
      <x v="34"/>
    </i>
    <i r="2">
      <x v="35"/>
    </i>
    <i r="1">
      <x v="15"/>
      <x v="21"/>
    </i>
    <i r="1">
      <x v="16"/>
      <x v="4"/>
    </i>
    <i r="2">
      <x v="25"/>
    </i>
    <i r="1">
      <x v="18"/>
      <x/>
    </i>
    <i r="1">
      <x v="19"/>
      <x v="2"/>
    </i>
    <i r="2">
      <x v="100"/>
    </i>
    <i t="blank">
      <x v="40"/>
    </i>
    <i>
      <x v="41"/>
    </i>
    <i r="1">
      <x/>
      <x v="93"/>
    </i>
    <i r="1">
      <x v="1"/>
      <x v="72"/>
    </i>
    <i r="1">
      <x v="2"/>
      <x v="88"/>
    </i>
    <i r="1">
      <x v="3"/>
      <x v="86"/>
    </i>
    <i r="1">
      <x v="4"/>
      <x v="74"/>
    </i>
    <i r="1">
      <x v="5"/>
      <x v="92"/>
    </i>
    <i r="2">
      <x v="102"/>
    </i>
    <i r="1">
      <x v="7"/>
      <x v="100"/>
    </i>
    <i r="1">
      <x v="8"/>
      <x v="71"/>
    </i>
    <i r="1">
      <x v="9"/>
      <x v="70"/>
    </i>
    <i r="1">
      <x v="10"/>
      <x v="14"/>
    </i>
    <i r="2">
      <x v="15"/>
    </i>
    <i r="2">
      <x v="55"/>
    </i>
    <i r="1">
      <x v="13"/>
      <x v="91"/>
    </i>
    <i r="1">
      <x v="14"/>
      <x v="3"/>
    </i>
    <i r="2">
      <x v="12"/>
    </i>
    <i r="2">
      <x v="60"/>
    </i>
    <i r="1">
      <x v="17"/>
      <x v="67"/>
    </i>
    <i r="1">
      <x v="18"/>
      <x v="13"/>
    </i>
    <i r="2">
      <x v="81"/>
    </i>
    <i r="2">
      <x v="99"/>
    </i>
    <i t="blank">
      <x v="41"/>
    </i>
    <i>
      <x v="42"/>
    </i>
    <i r="1">
      <x/>
      <x v="72"/>
    </i>
    <i r="1">
      <x v="1"/>
      <x v="71"/>
    </i>
    <i r="1">
      <x v="2"/>
      <x v="93"/>
    </i>
    <i r="1">
      <x v="3"/>
      <x v="88"/>
    </i>
    <i r="1">
      <x v="4"/>
      <x v="33"/>
    </i>
    <i r="1">
      <x v="5"/>
      <x v="92"/>
    </i>
    <i r="1">
      <x v="6"/>
      <x v="61"/>
    </i>
    <i r="1">
      <x v="7"/>
      <x v="38"/>
    </i>
    <i r="1">
      <x v="8"/>
      <x v="15"/>
    </i>
    <i r="1">
      <x v="9"/>
      <x v="14"/>
    </i>
    <i r="2">
      <x v="106"/>
    </i>
    <i r="1">
      <x v="11"/>
      <x v="102"/>
    </i>
    <i r="1">
      <x v="12"/>
      <x v="2"/>
    </i>
    <i r="2">
      <x v="12"/>
    </i>
    <i r="2">
      <x v="13"/>
    </i>
    <i r="2">
      <x v="70"/>
    </i>
    <i r="2">
      <x v="86"/>
    </i>
    <i r="1">
      <x v="17"/>
      <x v="74"/>
    </i>
    <i r="1">
      <x v="18"/>
      <x v="28"/>
    </i>
    <i r="2">
      <x v="100"/>
    </i>
    <i t="blank">
      <x v="42"/>
    </i>
    <i>
      <x v="43"/>
    </i>
    <i r="1">
      <x/>
      <x v="93"/>
    </i>
    <i r="1">
      <x v="1"/>
      <x v="72"/>
    </i>
    <i r="1">
      <x v="2"/>
      <x v="92"/>
    </i>
    <i r="1">
      <x v="3"/>
      <x v="100"/>
    </i>
    <i r="1">
      <x v="4"/>
      <x v="102"/>
    </i>
    <i r="1">
      <x v="5"/>
      <x v="15"/>
    </i>
    <i r="1">
      <x v="6"/>
      <x v="86"/>
    </i>
    <i r="1">
      <x v="7"/>
      <x v="61"/>
    </i>
    <i r="2">
      <x v="106"/>
    </i>
    <i r="1">
      <x v="9"/>
      <x v="88"/>
    </i>
    <i r="1">
      <x v="10"/>
      <x/>
    </i>
    <i r="1">
      <x v="11"/>
      <x v="91"/>
    </i>
    <i r="1">
      <x v="12"/>
      <x v="3"/>
    </i>
    <i r="2">
      <x v="5"/>
    </i>
    <i r="2">
      <x v="13"/>
    </i>
    <i r="2">
      <x v="67"/>
    </i>
    <i r="1">
      <x v="16"/>
      <x v="71"/>
    </i>
    <i r="1">
      <x v="17"/>
      <x v="2"/>
    </i>
    <i r="2">
      <x v="14"/>
    </i>
    <i r="1">
      <x v="19"/>
      <x v="60"/>
    </i>
    <i r="2">
      <x v="74"/>
    </i>
    <i r="2">
      <x v="82"/>
    </i>
    <i r="2">
      <x v="90"/>
    </i>
    <i t="blank">
      <x v="43"/>
    </i>
    <i>
      <x v="44"/>
    </i>
    <i r="1">
      <x/>
      <x v="93"/>
    </i>
    <i r="1">
      <x v="1"/>
      <x v="88"/>
    </i>
    <i r="1">
      <x v="2"/>
      <x v="102"/>
    </i>
    <i r="1">
      <x v="3"/>
      <x v="92"/>
    </i>
    <i r="1">
      <x v="4"/>
      <x v="86"/>
    </i>
    <i r="1">
      <x v="5"/>
      <x v="72"/>
    </i>
    <i r="1">
      <x v="6"/>
      <x v="15"/>
    </i>
    <i r="1">
      <x v="7"/>
      <x v="14"/>
    </i>
    <i r="1">
      <x v="8"/>
      <x v="64"/>
    </i>
    <i r="1">
      <x v="9"/>
      <x v="100"/>
    </i>
    <i r="1">
      <x v="10"/>
      <x v="61"/>
    </i>
    <i r="1">
      <x v="11"/>
      <x/>
    </i>
    <i r="1">
      <x v="12"/>
      <x v="3"/>
    </i>
    <i r="2">
      <x v="70"/>
    </i>
    <i r="1">
      <x v="14"/>
      <x v="91"/>
    </i>
    <i r="1">
      <x v="15"/>
      <x v="60"/>
    </i>
    <i r="2">
      <x v="67"/>
    </i>
    <i r="2">
      <x v="99"/>
    </i>
    <i r="1">
      <x v="18"/>
      <x v="11"/>
    </i>
    <i r="1">
      <x v="19"/>
      <x v="71"/>
    </i>
    <i r="2">
      <x v="82"/>
    </i>
    <i r="2">
      <x v="90"/>
    </i>
    <i t="blank">
      <x v="44"/>
    </i>
    <i>
      <x v="45"/>
    </i>
    <i r="1">
      <x/>
      <x v="72"/>
    </i>
    <i r="1">
      <x v="1"/>
      <x v="93"/>
    </i>
    <i r="1">
      <x v="2"/>
      <x v="73"/>
    </i>
    <i r="1">
      <x v="3"/>
      <x v="100"/>
    </i>
    <i r="1">
      <x v="4"/>
      <x v="88"/>
    </i>
    <i r="1">
      <x v="5"/>
      <x v="92"/>
    </i>
    <i r="1">
      <x v="6"/>
      <x v="106"/>
    </i>
    <i r="1">
      <x v="7"/>
      <x v="3"/>
    </i>
    <i r="1">
      <x v="8"/>
      <x v="102"/>
    </i>
    <i r="1">
      <x v="9"/>
      <x v="71"/>
    </i>
    <i r="1">
      <x v="10"/>
      <x v="61"/>
    </i>
    <i r="2">
      <x v="86"/>
    </i>
    <i r="1">
      <x v="12"/>
      <x v="64"/>
    </i>
    <i r="1">
      <x v="13"/>
      <x v="13"/>
    </i>
    <i r="1">
      <x v="14"/>
      <x v="15"/>
    </i>
    <i r="2">
      <x v="60"/>
    </i>
    <i r="1">
      <x v="16"/>
      <x v="66"/>
    </i>
    <i r="1">
      <x v="17"/>
      <x v="59"/>
    </i>
    <i r="1">
      <x v="18"/>
      <x v="67"/>
    </i>
    <i r="1">
      <x v="19"/>
      <x/>
    </i>
    <i t="blank">
      <x v="45"/>
    </i>
    <i>
      <x v="46"/>
    </i>
    <i r="1">
      <x/>
      <x v="93"/>
    </i>
    <i r="1">
      <x v="1"/>
      <x v="72"/>
    </i>
    <i r="1">
      <x v="2"/>
      <x v="92"/>
    </i>
    <i r="1">
      <x v="3"/>
      <x v="100"/>
    </i>
    <i r="1">
      <x v="4"/>
      <x v="102"/>
    </i>
    <i r="1">
      <x v="5"/>
      <x v="86"/>
    </i>
    <i r="1">
      <x v="6"/>
      <x v="14"/>
    </i>
    <i r="1">
      <x v="7"/>
      <x v="88"/>
    </i>
    <i r="1">
      <x v="8"/>
      <x v="15"/>
    </i>
    <i r="1">
      <x v="9"/>
      <x v="60"/>
    </i>
    <i r="1">
      <x v="10"/>
      <x v="3"/>
    </i>
    <i r="1">
      <x v="11"/>
      <x v="70"/>
    </i>
    <i r="1">
      <x v="12"/>
      <x v="2"/>
    </i>
    <i r="1">
      <x v="13"/>
      <x v="4"/>
    </i>
    <i r="1">
      <x v="14"/>
      <x v="74"/>
    </i>
    <i r="2">
      <x v="82"/>
    </i>
    <i r="2">
      <x v="99"/>
    </i>
    <i r="1">
      <x v="17"/>
      <x v="59"/>
    </i>
    <i r="2">
      <x v="87"/>
    </i>
    <i r="1">
      <x v="19"/>
      <x/>
    </i>
    <i r="2">
      <x v="61"/>
    </i>
    <i t="blank">
      <x v="46"/>
    </i>
    <i>
      <x v="47"/>
    </i>
    <i r="1">
      <x/>
      <x v="93"/>
    </i>
    <i r="1">
      <x v="1"/>
      <x/>
    </i>
    <i r="1">
      <x v="2"/>
      <x v="106"/>
    </i>
    <i r="1">
      <x v="3"/>
      <x v="92"/>
    </i>
    <i r="1">
      <x v="4"/>
      <x v="88"/>
    </i>
    <i r="1">
      <x v="5"/>
      <x v="3"/>
    </i>
    <i r="1">
      <x v="6"/>
      <x v="61"/>
    </i>
    <i r="1">
      <x v="7"/>
      <x v="2"/>
    </i>
    <i r="2">
      <x v="100"/>
    </i>
    <i r="1">
      <x v="9"/>
      <x v="14"/>
    </i>
    <i r="1">
      <x v="10"/>
      <x v="15"/>
    </i>
    <i r="2">
      <x v="60"/>
    </i>
    <i r="2">
      <x v="86"/>
    </i>
    <i r="2">
      <x v="102"/>
    </i>
    <i r="1">
      <x v="14"/>
      <x v="33"/>
    </i>
    <i r="1">
      <x v="15"/>
      <x v="11"/>
    </i>
    <i r="1">
      <x v="16"/>
      <x v="4"/>
    </i>
    <i r="2">
      <x v="67"/>
    </i>
    <i r="1">
      <x v="18"/>
      <x v="38"/>
    </i>
    <i r="2">
      <x v="68"/>
    </i>
    <i r="2">
      <x v="69"/>
    </i>
    <i r="2">
      <x v="72"/>
    </i>
    <i r="2">
      <x v="85"/>
    </i>
    <i t="blank">
      <x v="47"/>
    </i>
    <i>
      <x v="48"/>
    </i>
    <i r="1">
      <x/>
      <x v="93"/>
    </i>
    <i r="1">
      <x v="1"/>
      <x v="92"/>
    </i>
    <i r="1">
      <x v="2"/>
      <x v="72"/>
    </i>
    <i r="1">
      <x v="3"/>
      <x v="14"/>
    </i>
    <i r="1">
      <x v="4"/>
      <x v="88"/>
    </i>
    <i r="1">
      <x v="5"/>
      <x v="33"/>
    </i>
    <i r="1">
      <x v="6"/>
      <x v="2"/>
    </i>
    <i r="1">
      <x v="7"/>
      <x v="86"/>
    </i>
    <i r="1">
      <x v="8"/>
      <x v="38"/>
    </i>
    <i r="2">
      <x v="100"/>
    </i>
    <i r="2">
      <x v="102"/>
    </i>
    <i r="2">
      <x v="106"/>
    </i>
    <i r="1">
      <x v="12"/>
      <x v="60"/>
    </i>
    <i r="2">
      <x v="61"/>
    </i>
    <i r="1">
      <x v="14"/>
      <x v="71"/>
    </i>
    <i r="1">
      <x v="15"/>
      <x v="3"/>
    </i>
    <i r="2">
      <x v="4"/>
    </i>
    <i r="2">
      <x v="15"/>
    </i>
    <i r="2">
      <x v="28"/>
    </i>
    <i r="1">
      <x v="19"/>
      <x v="12"/>
    </i>
    <i t="blank">
      <x v="48"/>
    </i>
    <i>
      <x v="49"/>
    </i>
    <i r="1">
      <x/>
      <x v="93"/>
    </i>
    <i r="1">
      <x v="1"/>
      <x v="72"/>
    </i>
    <i r="1">
      <x v="2"/>
      <x v="92"/>
    </i>
    <i r="1">
      <x v="3"/>
      <x v="88"/>
    </i>
    <i r="1">
      <x v="4"/>
      <x v="100"/>
    </i>
    <i r="1">
      <x v="5"/>
      <x v="86"/>
    </i>
    <i r="1">
      <x v="6"/>
      <x v="67"/>
    </i>
    <i r="2">
      <x v="102"/>
    </i>
    <i r="1">
      <x v="8"/>
      <x v="74"/>
    </i>
    <i r="1">
      <x v="9"/>
      <x v="60"/>
    </i>
    <i r="1">
      <x v="10"/>
      <x v="70"/>
    </i>
    <i r="1">
      <x v="11"/>
      <x v="2"/>
    </i>
    <i r="2">
      <x v="15"/>
    </i>
    <i r="1">
      <x v="13"/>
      <x v="64"/>
    </i>
    <i r="1">
      <x v="14"/>
      <x v="91"/>
    </i>
    <i r="1">
      <x v="15"/>
      <x v="89"/>
    </i>
    <i r="1">
      <x v="16"/>
      <x v="99"/>
    </i>
    <i r="1">
      <x v="17"/>
      <x v="12"/>
    </i>
    <i r="2">
      <x v="71"/>
    </i>
    <i r="1">
      <x v="19"/>
      <x/>
    </i>
    <i r="2">
      <x v="4"/>
    </i>
    <i r="2">
      <x v="14"/>
    </i>
    <i t="blank">
      <x v="49"/>
    </i>
    <i>
      <x v="50"/>
    </i>
    <i r="1">
      <x/>
      <x v="93"/>
    </i>
    <i r="1">
      <x v="1"/>
      <x v="72"/>
    </i>
    <i r="1">
      <x v="2"/>
      <x v="92"/>
    </i>
    <i r="2">
      <x v="100"/>
    </i>
    <i r="1">
      <x v="4"/>
      <x v="95"/>
    </i>
    <i r="1">
      <x v="5"/>
      <x v="2"/>
    </i>
    <i r="2">
      <x v="61"/>
    </i>
    <i r="1">
      <x v="7"/>
      <x v="73"/>
    </i>
    <i r="2">
      <x v="88"/>
    </i>
    <i r="2">
      <x v="102"/>
    </i>
    <i r="1">
      <x v="10"/>
      <x v="15"/>
    </i>
    <i r="2">
      <x v="60"/>
    </i>
    <i r="2">
      <x v="64"/>
    </i>
    <i r="2">
      <x v="67"/>
    </i>
    <i r="2">
      <x v="71"/>
    </i>
    <i r="1">
      <x v="15"/>
      <x v="3"/>
    </i>
    <i r="2">
      <x v="14"/>
    </i>
    <i r="2">
      <x v="91"/>
    </i>
    <i r="2">
      <x v="99"/>
    </i>
    <i r="1">
      <x v="19"/>
      <x v="82"/>
    </i>
    <i r="2">
      <x v="106"/>
    </i>
    <i t="blank">
      <x v="50"/>
    </i>
    <i>
      <x v="51"/>
    </i>
    <i r="1">
      <x/>
      <x v="93"/>
    </i>
    <i r="1">
      <x v="1"/>
      <x v="100"/>
    </i>
    <i r="1">
      <x v="2"/>
      <x v="15"/>
    </i>
    <i r="1">
      <x v="3"/>
      <x v="92"/>
    </i>
    <i r="1">
      <x v="4"/>
      <x v="61"/>
    </i>
    <i r="2">
      <x v="102"/>
    </i>
    <i r="1">
      <x v="6"/>
      <x v="72"/>
    </i>
    <i r="2">
      <x v="86"/>
    </i>
    <i r="1">
      <x v="8"/>
      <x v="14"/>
    </i>
    <i r="1">
      <x v="9"/>
      <x v="4"/>
    </i>
    <i r="2">
      <x v="99"/>
    </i>
    <i r="2">
      <x v="106"/>
    </i>
    <i r="1">
      <x v="12"/>
      <x/>
    </i>
    <i r="2">
      <x v="12"/>
    </i>
    <i r="2">
      <x v="33"/>
    </i>
    <i r="1">
      <x v="15"/>
      <x v="2"/>
    </i>
    <i r="2">
      <x v="103"/>
    </i>
    <i r="1">
      <x v="17"/>
      <x v="60"/>
    </i>
    <i r="1">
      <x v="18"/>
      <x v="3"/>
    </i>
    <i r="1">
      <x v="19"/>
      <x v="13"/>
    </i>
    <i r="2">
      <x v="59"/>
    </i>
    <i r="2">
      <x v="74"/>
    </i>
    <i r="2">
      <x v="82"/>
    </i>
    <i r="2">
      <x v="88"/>
    </i>
    <i t="blank">
      <x v="51"/>
    </i>
    <i>
      <x v="52"/>
    </i>
    <i r="1">
      <x/>
      <x v="71"/>
    </i>
    <i r="1">
      <x v="1"/>
      <x v="13"/>
    </i>
    <i r="1">
      <x v="2"/>
      <x v="15"/>
    </i>
    <i r="2">
      <x v="72"/>
    </i>
    <i r="1">
      <x v="4"/>
      <x v="106"/>
    </i>
    <i r="1">
      <x v="5"/>
      <x/>
    </i>
    <i r="2">
      <x v="74"/>
    </i>
    <i r="1">
      <x v="7"/>
      <x v="92"/>
    </i>
    <i r="1">
      <x v="8"/>
      <x v="93"/>
    </i>
    <i r="1">
      <x v="9"/>
      <x v="21"/>
    </i>
    <i r="1">
      <x v="10"/>
      <x v="14"/>
    </i>
    <i r="2">
      <x v="61"/>
    </i>
    <i r="1">
      <x v="12"/>
      <x v="27"/>
    </i>
    <i r="2">
      <x v="102"/>
    </i>
    <i r="1">
      <x v="14"/>
      <x v="4"/>
    </i>
    <i r="2">
      <x v="25"/>
    </i>
    <i r="2">
      <x v="100"/>
    </i>
    <i r="1">
      <x v="17"/>
      <x v="2"/>
    </i>
    <i r="2">
      <x v="50"/>
    </i>
    <i r="1">
      <x v="19"/>
      <x v="3"/>
    </i>
    <i r="2">
      <x v="40"/>
    </i>
    <i r="2">
      <x v="107"/>
    </i>
    <i t="blank">
      <x v="52"/>
    </i>
    <i>
      <x v="53"/>
    </i>
    <i r="1">
      <x/>
      <x v="88"/>
    </i>
    <i r="1">
      <x v="1"/>
      <x v="93"/>
    </i>
    <i r="1">
      <x v="2"/>
      <x v="92"/>
    </i>
    <i r="1">
      <x v="3"/>
      <x v="86"/>
    </i>
    <i r="1">
      <x v="4"/>
      <x v="60"/>
    </i>
    <i r="2">
      <x v="100"/>
    </i>
    <i r="1">
      <x v="6"/>
      <x v="72"/>
    </i>
    <i r="1">
      <x v="7"/>
      <x v="102"/>
    </i>
    <i r="1">
      <x v="8"/>
      <x v="67"/>
    </i>
    <i r="1">
      <x v="9"/>
      <x v="61"/>
    </i>
    <i r="2">
      <x v="89"/>
    </i>
    <i r="1">
      <x v="11"/>
      <x v="106"/>
    </i>
    <i r="1">
      <x v="12"/>
      <x v="90"/>
    </i>
    <i r="1">
      <x v="13"/>
      <x v="70"/>
    </i>
    <i r="2">
      <x v="85"/>
    </i>
    <i r="1">
      <x v="15"/>
      <x/>
    </i>
    <i r="2">
      <x v="2"/>
    </i>
    <i r="2">
      <x v="13"/>
    </i>
    <i r="2">
      <x v="33"/>
    </i>
    <i r="1">
      <x v="19"/>
      <x v="3"/>
    </i>
    <i r="2">
      <x v="11"/>
    </i>
    <i r="2">
      <x v="15"/>
    </i>
    <i t="blank">
      <x v="53"/>
    </i>
    <i>
      <x v="54"/>
    </i>
    <i r="1">
      <x/>
      <x v="22"/>
    </i>
    <i r="1">
      <x v="1"/>
      <x v="87"/>
    </i>
    <i r="2">
      <x v="100"/>
    </i>
    <i r="1">
      <x v="3"/>
      <x/>
    </i>
    <i r="1">
      <x v="4"/>
      <x v="3"/>
    </i>
    <i r="1">
      <x v="5"/>
      <x v="90"/>
    </i>
    <i r="2">
      <x v="102"/>
    </i>
    <i r="1">
      <x v="7"/>
      <x v="2"/>
    </i>
    <i r="2">
      <x v="66"/>
    </i>
    <i r="2">
      <x v="93"/>
    </i>
    <i r="2">
      <x v="106"/>
    </i>
    <i r="1">
      <x v="11"/>
      <x v="14"/>
    </i>
    <i r="2">
      <x v="99"/>
    </i>
    <i r="1">
      <x v="13"/>
      <x v="5"/>
    </i>
    <i r="2">
      <x v="12"/>
    </i>
    <i r="2">
      <x v="33"/>
    </i>
    <i r="2">
      <x v="58"/>
    </i>
    <i r="2">
      <x v="63"/>
    </i>
    <i r="2">
      <x v="92"/>
    </i>
    <i r="1">
      <x v="19"/>
      <x v="6"/>
    </i>
    <i r="2">
      <x v="53"/>
    </i>
    <i r="2">
      <x v="76"/>
    </i>
    <i t="blank">
      <x v="54"/>
    </i>
    <i>
      <x v="55"/>
    </i>
    <i r="1">
      <x/>
      <x v="93"/>
    </i>
    <i r="1">
      <x v="1"/>
      <x v="61"/>
    </i>
    <i r="2">
      <x v="88"/>
    </i>
    <i r="1">
      <x v="3"/>
      <x v="92"/>
    </i>
    <i r="1">
      <x v="4"/>
      <x v="14"/>
    </i>
    <i r="2">
      <x v="102"/>
    </i>
    <i r="1">
      <x v="6"/>
      <x/>
    </i>
    <i r="2">
      <x v="2"/>
    </i>
    <i r="2">
      <x v="3"/>
    </i>
    <i r="2">
      <x v="73"/>
    </i>
    <i r="2">
      <x v="86"/>
    </i>
    <i r="1">
      <x v="11"/>
      <x v="15"/>
    </i>
    <i r="2">
      <x v="72"/>
    </i>
    <i r="1">
      <x v="13"/>
      <x v="11"/>
    </i>
    <i r="2">
      <x v="68"/>
    </i>
    <i r="2">
      <x v="82"/>
    </i>
    <i r="1">
      <x v="16"/>
      <x v="10"/>
    </i>
    <i r="2">
      <x v="85"/>
    </i>
    <i r="2">
      <x v="87"/>
    </i>
    <i r="2">
      <x v="91"/>
    </i>
    <i t="blank">
      <x v="55"/>
    </i>
    <i>
      <x v="56"/>
    </i>
    <i r="1">
      <x/>
      <x v="72"/>
    </i>
    <i r="1">
      <x v="1"/>
      <x v="3"/>
    </i>
    <i r="1">
      <x v="2"/>
      <x v="88"/>
    </i>
    <i r="2">
      <x v="93"/>
    </i>
    <i r="1">
      <x v="4"/>
      <x v="92"/>
    </i>
    <i r="1">
      <x v="5"/>
      <x v="61"/>
    </i>
    <i r="2">
      <x v="100"/>
    </i>
    <i r="1">
      <x v="7"/>
      <x v="86"/>
    </i>
    <i r="1">
      <x v="8"/>
      <x/>
    </i>
    <i r="2">
      <x v="14"/>
    </i>
    <i r="2">
      <x v="60"/>
    </i>
    <i r="1">
      <x v="11"/>
      <x v="15"/>
    </i>
    <i r="2">
      <x v="82"/>
    </i>
    <i r="2">
      <x v="102"/>
    </i>
    <i r="1">
      <x v="14"/>
      <x v="59"/>
    </i>
    <i r="1">
      <x v="15"/>
      <x v="2"/>
    </i>
    <i r="2">
      <x v="67"/>
    </i>
    <i r="2">
      <x v="96"/>
    </i>
    <i r="1">
      <x v="18"/>
      <x v="4"/>
    </i>
    <i r="2">
      <x v="64"/>
    </i>
    <i t="blank">
      <x v="56"/>
    </i>
    <i>
      <x v="57"/>
    </i>
    <i r="1">
      <x/>
      <x v="93"/>
    </i>
    <i r="1">
      <x v="1"/>
      <x v="72"/>
    </i>
    <i r="2">
      <x v="92"/>
    </i>
    <i r="1">
      <x v="3"/>
      <x v="100"/>
    </i>
    <i r="1">
      <x v="4"/>
      <x/>
    </i>
    <i r="1">
      <x v="5"/>
      <x v="88"/>
    </i>
    <i r="1">
      <x v="6"/>
      <x v="60"/>
    </i>
    <i r="2">
      <x v="86"/>
    </i>
    <i r="1">
      <x v="8"/>
      <x v="102"/>
    </i>
    <i r="1">
      <x v="9"/>
      <x v="61"/>
    </i>
    <i r="2">
      <x v="67"/>
    </i>
    <i r="1">
      <x v="11"/>
      <x v="22"/>
    </i>
    <i r="1">
      <x v="12"/>
      <x v="59"/>
    </i>
    <i r="1">
      <x v="13"/>
      <x v="2"/>
    </i>
    <i r="2">
      <x v="4"/>
    </i>
    <i r="2">
      <x v="40"/>
    </i>
    <i r="2">
      <x v="58"/>
    </i>
    <i r="1">
      <x v="17"/>
      <x v="3"/>
    </i>
    <i r="2">
      <x v="14"/>
    </i>
    <i r="2">
      <x v="82"/>
    </i>
    <i r="2">
      <x v="99"/>
    </i>
    <i t="blank">
      <x v="57"/>
    </i>
    <i>
      <x v="58"/>
    </i>
    <i r="1">
      <x/>
      <x v="106"/>
    </i>
    <i r="1">
      <x v="1"/>
      <x v="14"/>
    </i>
    <i r="1">
      <x v="2"/>
      <x v="88"/>
    </i>
    <i r="2">
      <x v="92"/>
    </i>
    <i r="1">
      <x v="4"/>
      <x v="2"/>
    </i>
    <i r="2">
      <x v="93"/>
    </i>
    <i r="1">
      <x v="6"/>
      <x/>
    </i>
    <i r="2">
      <x v="3"/>
    </i>
    <i r="1">
      <x v="8"/>
      <x v="13"/>
    </i>
    <i r="2">
      <x v="15"/>
    </i>
    <i r="2">
      <x v="33"/>
    </i>
    <i r="1">
      <x v="11"/>
      <x v="61"/>
    </i>
    <i r="1">
      <x v="12"/>
      <x v="43"/>
    </i>
    <i r="2">
      <x v="100"/>
    </i>
    <i r="1">
      <x v="14"/>
      <x v="11"/>
    </i>
    <i r="2">
      <x v="65"/>
    </i>
    <i r="2">
      <x v="87"/>
    </i>
    <i r="1">
      <x v="17"/>
      <x v="5"/>
    </i>
    <i r="2">
      <x v="6"/>
    </i>
    <i r="2">
      <x v="8"/>
    </i>
    <i r="2">
      <x v="38"/>
    </i>
    <i r="2">
      <x v="82"/>
    </i>
    <i r="2">
      <x v="86"/>
    </i>
    <i t="blank">
      <x v="58"/>
    </i>
    <i>
      <x v="59"/>
    </i>
    <i r="1">
      <x/>
      <x v="3"/>
    </i>
    <i r="1">
      <x v="1"/>
      <x v="13"/>
    </i>
    <i r="1">
      <x v="2"/>
      <x/>
    </i>
    <i r="2">
      <x v="14"/>
    </i>
    <i r="2">
      <x v="61"/>
    </i>
    <i r="2">
      <x v="106"/>
    </i>
    <i r="1">
      <x v="6"/>
      <x v="93"/>
    </i>
    <i r="1">
      <x v="7"/>
      <x v="2"/>
    </i>
    <i r="1">
      <x v="8"/>
      <x v="88"/>
    </i>
    <i r="2">
      <x v="92"/>
    </i>
    <i r="1">
      <x v="10"/>
      <x v="15"/>
    </i>
    <i r="2">
      <x v="40"/>
    </i>
    <i r="2">
      <x v="86"/>
    </i>
    <i r="1">
      <x v="13"/>
      <x v="67"/>
    </i>
    <i r="1">
      <x v="14"/>
      <x v="10"/>
    </i>
    <i r="2">
      <x v="24"/>
    </i>
    <i r="2">
      <x v="54"/>
    </i>
    <i r="2">
      <x v="58"/>
    </i>
    <i r="2">
      <x v="66"/>
    </i>
    <i r="2">
      <x v="87"/>
    </i>
    <i r="2">
      <x v="100"/>
    </i>
    <i t="blank">
      <x v="59"/>
    </i>
    <i>
      <x v="60"/>
    </i>
    <i r="1">
      <x/>
      <x v="93"/>
    </i>
    <i r="1">
      <x v="1"/>
      <x v="100"/>
    </i>
    <i r="1">
      <x v="2"/>
      <x/>
    </i>
    <i r="1">
      <x v="3"/>
      <x v="4"/>
    </i>
    <i r="2">
      <x v="15"/>
    </i>
    <i r="1">
      <x v="5"/>
      <x v="3"/>
    </i>
    <i r="1">
      <x v="6"/>
      <x v="33"/>
    </i>
    <i r="2">
      <x v="86"/>
    </i>
    <i r="2">
      <x v="92"/>
    </i>
    <i r="1">
      <x v="9"/>
      <x v="6"/>
    </i>
    <i r="2">
      <x v="67"/>
    </i>
    <i r="2">
      <x v="77"/>
    </i>
    <i r="1">
      <x v="12"/>
      <x v="2"/>
    </i>
    <i r="2">
      <x v="12"/>
    </i>
    <i r="2">
      <x v="14"/>
    </i>
    <i r="2">
      <x v="40"/>
    </i>
    <i r="2">
      <x v="46"/>
    </i>
    <i r="2">
      <x v="64"/>
    </i>
    <i r="2">
      <x v="82"/>
    </i>
    <i r="2">
      <x v="88"/>
    </i>
    <i r="2">
      <x v="99"/>
    </i>
    <i r="2">
      <x v="102"/>
    </i>
    <i r="2">
      <x v="106"/>
    </i>
    <i t="blank">
      <x v="60"/>
    </i>
    <i>
      <x v="61"/>
    </i>
    <i r="1">
      <x/>
      <x v="22"/>
    </i>
    <i r="1">
      <x v="1"/>
      <x v="3"/>
    </i>
    <i r="1">
      <x v="2"/>
      <x v="33"/>
    </i>
    <i r="2">
      <x v="86"/>
    </i>
    <i r="2">
      <x v="87"/>
    </i>
    <i r="2">
      <x v="92"/>
    </i>
    <i r="1">
      <x v="6"/>
      <x/>
    </i>
    <i r="2">
      <x v="59"/>
    </i>
    <i r="2">
      <x v="61"/>
    </i>
    <i r="2">
      <x v="106"/>
    </i>
    <i r="1">
      <x v="10"/>
      <x v="2"/>
    </i>
    <i r="2">
      <x v="60"/>
    </i>
    <i r="2">
      <x v="90"/>
    </i>
    <i r="1">
      <x v="13"/>
      <x v="5"/>
    </i>
    <i r="1">
      <x v="14"/>
      <x v="6"/>
    </i>
    <i r="2">
      <x v="20"/>
    </i>
    <i r="2">
      <x v="40"/>
    </i>
    <i r="2">
      <x v="64"/>
    </i>
    <i r="2">
      <x v="66"/>
    </i>
    <i r="2">
      <x v="72"/>
    </i>
    <i r="2">
      <x v="88"/>
    </i>
    <i r="2">
      <x v="93"/>
    </i>
    <i r="2">
      <x v="100"/>
    </i>
    <i r="2">
      <x v="102"/>
    </i>
    <i t="blank">
      <x v="61"/>
    </i>
    <i>
      <x v="62"/>
    </i>
    <i r="1">
      <x/>
      <x v="72"/>
    </i>
    <i r="1">
      <x v="1"/>
      <x/>
    </i>
    <i r="1">
      <x v="2"/>
      <x v="93"/>
    </i>
    <i r="1">
      <x v="3"/>
      <x v="86"/>
    </i>
    <i r="1">
      <x v="4"/>
      <x v="14"/>
    </i>
    <i r="2">
      <x v="102"/>
    </i>
    <i r="2">
      <x v="106"/>
    </i>
    <i r="1">
      <x v="7"/>
      <x v="67"/>
    </i>
    <i r="2">
      <x v="73"/>
    </i>
    <i r="1">
      <x v="9"/>
      <x v="3"/>
    </i>
    <i r="2">
      <x v="5"/>
    </i>
    <i r="2">
      <x v="71"/>
    </i>
    <i r="2">
      <x v="92"/>
    </i>
    <i r="1">
      <x v="13"/>
      <x v="6"/>
    </i>
    <i r="2">
      <x v="43"/>
    </i>
    <i r="2">
      <x v="48"/>
    </i>
    <i r="2">
      <x v="63"/>
    </i>
    <i r="2">
      <x v="82"/>
    </i>
    <i r="2">
      <x v="87"/>
    </i>
    <i r="2">
      <x v="90"/>
    </i>
    <i r="2">
      <x v="91"/>
    </i>
    <i t="blank">
      <x v="62"/>
    </i>
    <i>
      <x v="63"/>
    </i>
    <i r="1">
      <x/>
      <x v="86"/>
    </i>
    <i r="1">
      <x v="1"/>
      <x v="93"/>
    </i>
    <i r="1">
      <x v="2"/>
      <x v="67"/>
    </i>
    <i r="1">
      <x v="3"/>
      <x v="3"/>
    </i>
    <i r="2">
      <x v="106"/>
    </i>
    <i r="1">
      <x v="5"/>
      <x v="14"/>
    </i>
    <i r="2">
      <x v="62"/>
    </i>
    <i r="1">
      <x v="7"/>
      <x/>
    </i>
    <i r="2">
      <x v="60"/>
    </i>
    <i r="2">
      <x v="91"/>
    </i>
    <i r="2">
      <x v="92"/>
    </i>
    <i r="1">
      <x v="11"/>
      <x v="5"/>
    </i>
    <i r="2">
      <x v="63"/>
    </i>
    <i r="2">
      <x v="88"/>
    </i>
    <i r="1">
      <x v="14"/>
      <x v="72"/>
    </i>
    <i r="2">
      <x v="84"/>
    </i>
    <i r="1">
      <x v="16"/>
      <x v="2"/>
    </i>
    <i r="2">
      <x v="9"/>
    </i>
    <i r="2">
      <x v="61"/>
    </i>
    <i r="2">
      <x v="64"/>
    </i>
    <i r="2">
      <x v="66"/>
    </i>
    <i r="2">
      <x v="76"/>
    </i>
    <i r="2">
      <x v="99"/>
    </i>
    <i r="2">
      <x v="102"/>
    </i>
    <i t="blank">
      <x v="63"/>
    </i>
    <i>
      <x v="64"/>
    </i>
    <i r="1">
      <x/>
      <x v="93"/>
    </i>
    <i r="1">
      <x v="1"/>
      <x v="87"/>
    </i>
    <i r="1">
      <x v="2"/>
      <x v="60"/>
    </i>
    <i r="2">
      <x v="86"/>
    </i>
    <i r="1">
      <x v="4"/>
      <x v="73"/>
    </i>
    <i r="1">
      <x v="5"/>
      <x/>
    </i>
    <i r="2">
      <x v="17"/>
    </i>
    <i r="2">
      <x v="61"/>
    </i>
    <i r="2">
      <x v="90"/>
    </i>
    <i r="1">
      <x v="9"/>
      <x v="84"/>
    </i>
    <i r="2">
      <x v="88"/>
    </i>
    <i r="2">
      <x v="100"/>
    </i>
    <i r="1">
      <x v="12"/>
      <x v="40"/>
    </i>
    <i r="2">
      <x v="67"/>
    </i>
    <i r="2">
      <x v="72"/>
    </i>
    <i r="2">
      <x v="85"/>
    </i>
    <i r="2">
      <x v="92"/>
    </i>
    <i r="2">
      <x v="102"/>
    </i>
    <i r="1">
      <x v="18"/>
      <x v="2"/>
    </i>
    <i r="2">
      <x v="3"/>
    </i>
    <i r="2">
      <x v="91"/>
    </i>
    <i r="2">
      <x v="106"/>
    </i>
    <i t="blank">
      <x v="64"/>
    </i>
    <i>
      <x v="65"/>
    </i>
    <i r="1">
      <x/>
      <x v="3"/>
    </i>
    <i r="1">
      <x v="1"/>
      <x/>
    </i>
    <i r="2">
      <x v="93"/>
    </i>
    <i r="1">
      <x v="3"/>
      <x v="92"/>
    </i>
    <i r="1">
      <x v="4"/>
      <x v="86"/>
    </i>
    <i r="1">
      <x v="5"/>
      <x v="5"/>
    </i>
    <i r="2">
      <x v="14"/>
    </i>
    <i r="1">
      <x v="7"/>
      <x v="53"/>
    </i>
    <i r="2">
      <x v="61"/>
    </i>
    <i r="2">
      <x v="85"/>
    </i>
    <i r="2">
      <x v="88"/>
    </i>
    <i r="2">
      <x v="106"/>
    </i>
    <i r="1">
      <x v="12"/>
      <x v="2"/>
    </i>
    <i r="1">
      <x v="13"/>
      <x v="87"/>
    </i>
    <i r="2">
      <x v="89"/>
    </i>
    <i r="2">
      <x v="102"/>
    </i>
    <i r="1">
      <x v="16"/>
      <x v="10"/>
    </i>
    <i r="2">
      <x v="17"/>
    </i>
    <i r="2">
      <x v="19"/>
    </i>
    <i r="2">
      <x v="59"/>
    </i>
    <i r="2">
      <x v="60"/>
    </i>
    <i r="2">
      <x v="62"/>
    </i>
    <i r="2">
      <x v="63"/>
    </i>
    <i r="2">
      <x v="67"/>
    </i>
    <i t="blank">
      <x v="65"/>
    </i>
    <i>
      <x v="66"/>
    </i>
    <i r="1">
      <x/>
      <x v="3"/>
    </i>
    <i r="1">
      <x v="1"/>
      <x v="60"/>
    </i>
    <i r="2">
      <x v="93"/>
    </i>
    <i r="1">
      <x v="3"/>
      <x v="37"/>
    </i>
    <i r="2">
      <x v="67"/>
    </i>
    <i r="1">
      <x v="5"/>
      <x v="40"/>
    </i>
    <i r="2">
      <x v="86"/>
    </i>
    <i r="2">
      <x v="87"/>
    </i>
    <i r="2">
      <x v="106"/>
    </i>
    <i r="1">
      <x v="9"/>
      <x/>
    </i>
    <i r="2">
      <x v="14"/>
    </i>
    <i r="2">
      <x v="16"/>
    </i>
    <i r="2">
      <x v="33"/>
    </i>
    <i r="2">
      <x v="36"/>
    </i>
    <i r="2">
      <x v="38"/>
    </i>
    <i r="2">
      <x v="63"/>
    </i>
    <i r="2">
      <x v="102"/>
    </i>
    <i r="2">
      <x v="103"/>
    </i>
    <i r="2">
      <x v="104"/>
    </i>
    <i r="1">
      <x v="19"/>
      <x v="1"/>
    </i>
    <i r="2">
      <x v="2"/>
    </i>
    <i r="2">
      <x v="4"/>
    </i>
    <i r="2">
      <x v="5"/>
    </i>
    <i r="2">
      <x v="7"/>
    </i>
    <i r="2">
      <x v="9"/>
    </i>
    <i r="2">
      <x v="11"/>
    </i>
    <i r="2">
      <x v="12"/>
    </i>
    <i r="2">
      <x v="13"/>
    </i>
    <i r="2">
      <x v="17"/>
    </i>
    <i r="2">
      <x v="23"/>
    </i>
    <i r="2">
      <x v="25"/>
    </i>
    <i r="2">
      <x v="29"/>
    </i>
    <i r="2">
      <x v="30"/>
    </i>
    <i r="2">
      <x v="31"/>
    </i>
    <i r="2">
      <x v="34"/>
    </i>
    <i r="2">
      <x v="39"/>
    </i>
    <i r="2">
      <x v="41"/>
    </i>
    <i r="2">
      <x v="43"/>
    </i>
    <i r="2">
      <x v="45"/>
    </i>
    <i r="2">
      <x v="47"/>
    </i>
    <i r="2">
      <x v="49"/>
    </i>
    <i r="2">
      <x v="51"/>
    </i>
    <i r="2">
      <x v="58"/>
    </i>
    <i r="2">
      <x v="61"/>
    </i>
    <i r="2">
      <x v="66"/>
    </i>
    <i r="2">
      <x v="68"/>
    </i>
    <i r="2">
      <x v="79"/>
    </i>
    <i r="2">
      <x v="81"/>
    </i>
    <i r="2">
      <x v="82"/>
    </i>
    <i r="2">
      <x v="83"/>
    </i>
    <i r="2">
      <x v="85"/>
    </i>
    <i r="2">
      <x v="90"/>
    </i>
    <i r="2">
      <x v="92"/>
    </i>
    <i r="2">
      <x v="94"/>
    </i>
    <i r="2">
      <x v="97"/>
    </i>
    <i r="2">
      <x v="98"/>
    </i>
    <i r="2">
      <x v="100"/>
    </i>
    <i r="2">
      <x v="107"/>
    </i>
    <i r="2">
      <x v="108"/>
    </i>
    <i t="blank">
      <x v="66"/>
    </i>
    <i>
      <x v="67"/>
    </i>
    <i r="1">
      <x/>
      <x v="106"/>
    </i>
    <i r="1">
      <x v="1"/>
      <x/>
    </i>
    <i r="2">
      <x v="93"/>
    </i>
    <i r="1">
      <x v="3"/>
      <x v="86"/>
    </i>
    <i r="2">
      <x v="92"/>
    </i>
    <i r="1">
      <x v="5"/>
      <x v="14"/>
    </i>
    <i r="2">
      <x v="102"/>
    </i>
    <i r="1">
      <x v="7"/>
      <x v="3"/>
    </i>
    <i r="2">
      <x v="15"/>
    </i>
    <i r="2">
      <x v="33"/>
    </i>
    <i r="1">
      <x v="10"/>
      <x v="65"/>
    </i>
    <i r="1">
      <x v="11"/>
      <x v="4"/>
    </i>
    <i r="2">
      <x v="6"/>
    </i>
    <i r="2">
      <x v="32"/>
    </i>
    <i r="2">
      <x v="82"/>
    </i>
    <i r="2">
      <x v="88"/>
    </i>
    <i r="2">
      <x v="90"/>
    </i>
    <i r="1">
      <x v="17"/>
      <x v="2"/>
    </i>
    <i r="2">
      <x v="17"/>
    </i>
    <i r="2">
      <x v="57"/>
    </i>
    <i r="2">
      <x v="61"/>
    </i>
    <i r="2">
      <x v="66"/>
    </i>
    <i r="2">
      <x v="67"/>
    </i>
    <i r="2">
      <x v="69"/>
    </i>
    <i r="2">
      <x v="101"/>
    </i>
    <i r="2">
      <x v="105"/>
    </i>
    <i t="blank">
      <x v="67"/>
    </i>
    <i>
      <x v="68"/>
    </i>
    <i r="1">
      <x/>
      <x/>
    </i>
    <i r="1">
      <x v="1"/>
      <x v="3"/>
    </i>
    <i r="1">
      <x v="2"/>
      <x v="92"/>
    </i>
    <i r="2">
      <x v="106"/>
    </i>
    <i r="1">
      <x v="4"/>
      <x v="93"/>
    </i>
    <i r="1">
      <x v="5"/>
      <x v="72"/>
    </i>
    <i r="2">
      <x v="86"/>
    </i>
    <i r="1">
      <x v="7"/>
      <x v="5"/>
    </i>
    <i r="2">
      <x v="14"/>
    </i>
    <i r="2">
      <x v="44"/>
    </i>
    <i r="2">
      <x v="61"/>
    </i>
    <i r="2">
      <x v="71"/>
    </i>
    <i r="1">
      <x v="12"/>
      <x v="2"/>
    </i>
    <i r="2">
      <x v="66"/>
    </i>
    <i r="2">
      <x v="67"/>
    </i>
    <i r="2">
      <x v="88"/>
    </i>
    <i r="1">
      <x v="16"/>
      <x v="6"/>
    </i>
    <i r="2">
      <x v="15"/>
    </i>
    <i r="2">
      <x v="53"/>
    </i>
    <i r="2">
      <x v="85"/>
    </i>
    <i r="2">
      <x v="87"/>
    </i>
    <i t="blank">
      <x v="68"/>
    </i>
    <i>
      <x v="69"/>
    </i>
    <i r="1">
      <x/>
      <x v="93"/>
    </i>
    <i r="1">
      <x v="1"/>
      <x v="92"/>
    </i>
    <i r="1">
      <x v="2"/>
      <x v="3"/>
    </i>
    <i r="1">
      <x v="3"/>
      <x/>
    </i>
    <i r="2">
      <x v="2"/>
    </i>
    <i r="2">
      <x v="86"/>
    </i>
    <i r="2">
      <x v="106"/>
    </i>
    <i r="1">
      <x v="7"/>
      <x v="102"/>
    </i>
    <i r="1">
      <x v="8"/>
      <x v="61"/>
    </i>
    <i r="1">
      <x v="9"/>
      <x v="72"/>
    </i>
    <i r="1">
      <x v="10"/>
      <x v="66"/>
    </i>
    <i r="2">
      <x v="67"/>
    </i>
    <i r="2">
      <x v="88"/>
    </i>
    <i r="2">
      <x v="99"/>
    </i>
    <i r="1">
      <x v="14"/>
      <x v="64"/>
    </i>
    <i r="2">
      <x v="85"/>
    </i>
    <i r="1">
      <x v="16"/>
      <x v="15"/>
    </i>
    <i r="2">
      <x v="55"/>
    </i>
    <i r="2">
      <x v="60"/>
    </i>
    <i r="2">
      <x v="91"/>
    </i>
    <i t="blank">
      <x v="69"/>
    </i>
    <i>
      <x v="70"/>
    </i>
    <i r="1">
      <x/>
      <x v="93"/>
    </i>
    <i r="1">
      <x v="1"/>
      <x v="88"/>
    </i>
    <i r="1">
      <x v="2"/>
      <x v="92"/>
    </i>
    <i r="1">
      <x v="3"/>
      <x v="86"/>
    </i>
    <i r="1">
      <x v="4"/>
      <x v="3"/>
    </i>
    <i r="1">
      <x v="5"/>
      <x v="102"/>
    </i>
    <i r="1">
      <x v="6"/>
      <x v="106"/>
    </i>
    <i r="1">
      <x v="7"/>
      <x v="60"/>
    </i>
    <i r="1">
      <x v="8"/>
      <x v="61"/>
    </i>
    <i r="1">
      <x v="9"/>
      <x v="67"/>
    </i>
    <i r="2">
      <x v="100"/>
    </i>
    <i r="1">
      <x v="11"/>
      <x v="72"/>
    </i>
    <i r="2">
      <x v="82"/>
    </i>
    <i r="1">
      <x v="13"/>
      <x/>
    </i>
    <i r="1">
      <x v="14"/>
      <x v="14"/>
    </i>
    <i r="1">
      <x v="15"/>
      <x v="15"/>
    </i>
    <i r="2">
      <x v="69"/>
    </i>
    <i r="1">
      <x v="17"/>
      <x v="85"/>
    </i>
    <i r="1">
      <x v="18"/>
      <x v="64"/>
    </i>
    <i r="2">
      <x v="89"/>
    </i>
    <i r="2">
      <x v="91"/>
    </i>
    <i t="blank">
      <x v="70"/>
    </i>
    <i>
      <x v="71"/>
    </i>
    <i r="1">
      <x/>
      <x v="72"/>
    </i>
    <i r="1">
      <x v="1"/>
      <x v="93"/>
    </i>
    <i r="1">
      <x v="2"/>
      <x v="92"/>
    </i>
    <i r="1">
      <x v="3"/>
      <x v="88"/>
    </i>
    <i r="1">
      <x v="4"/>
      <x v="86"/>
    </i>
    <i r="1">
      <x v="5"/>
      <x v="100"/>
    </i>
    <i r="2">
      <x v="102"/>
    </i>
    <i r="1">
      <x v="7"/>
      <x v="14"/>
    </i>
    <i r="2">
      <x v="15"/>
    </i>
    <i r="1">
      <x v="9"/>
      <x v="3"/>
    </i>
    <i r="2">
      <x v="95"/>
    </i>
    <i r="1">
      <x v="11"/>
      <x v="67"/>
    </i>
    <i r="2">
      <x v="91"/>
    </i>
    <i r="1">
      <x v="13"/>
      <x v="61"/>
    </i>
    <i r="1">
      <x v="14"/>
      <x v="59"/>
    </i>
    <i r="2">
      <x v="60"/>
    </i>
    <i r="2">
      <x v="87"/>
    </i>
    <i r="1">
      <x v="17"/>
      <x/>
    </i>
    <i r="2">
      <x v="64"/>
    </i>
    <i r="2">
      <x v="106"/>
    </i>
    <i t="blank">
      <x v="71"/>
    </i>
    <i>
      <x v="72"/>
    </i>
    <i r="1">
      <x/>
      <x v="93"/>
    </i>
    <i r="1">
      <x v="1"/>
      <x v="92"/>
    </i>
    <i r="1">
      <x v="2"/>
      <x v="3"/>
    </i>
    <i r="2">
      <x v="61"/>
    </i>
    <i r="1">
      <x v="4"/>
      <x v="14"/>
    </i>
    <i r="2">
      <x v="72"/>
    </i>
    <i r="1">
      <x v="6"/>
      <x v="60"/>
    </i>
    <i r="1">
      <x v="7"/>
      <x v="100"/>
    </i>
    <i r="1">
      <x v="8"/>
      <x v="15"/>
    </i>
    <i r="1">
      <x v="9"/>
      <x v="86"/>
    </i>
    <i r="2">
      <x v="102"/>
    </i>
    <i r="1">
      <x v="11"/>
      <x/>
    </i>
    <i r="2">
      <x v="2"/>
    </i>
    <i r="1">
      <x v="13"/>
      <x v="13"/>
    </i>
    <i r="2">
      <x v="88"/>
    </i>
    <i r="1">
      <x v="15"/>
      <x v="67"/>
    </i>
    <i r="2">
      <x v="70"/>
    </i>
    <i r="2">
      <x v="82"/>
    </i>
    <i r="2">
      <x v="106"/>
    </i>
    <i r="1">
      <x v="19"/>
      <x v="62"/>
    </i>
    <i r="2">
      <x v="107"/>
    </i>
    <i t="blank">
      <x v="72"/>
    </i>
    <i>
      <x v="73"/>
    </i>
    <i r="1">
      <x/>
      <x v="72"/>
    </i>
    <i r="1">
      <x v="1"/>
      <x v="15"/>
    </i>
    <i r="1">
      <x v="2"/>
      <x v="93"/>
    </i>
    <i r="1">
      <x v="3"/>
      <x v="106"/>
    </i>
    <i r="1">
      <x v="4"/>
      <x v="13"/>
    </i>
    <i r="1">
      <x v="5"/>
      <x v="61"/>
    </i>
    <i r="1">
      <x v="6"/>
      <x v="2"/>
    </i>
    <i r="2">
      <x v="14"/>
    </i>
    <i r="1">
      <x v="8"/>
      <x v="92"/>
    </i>
    <i r="1">
      <x v="9"/>
      <x v="21"/>
    </i>
    <i r="2">
      <x v="33"/>
    </i>
    <i r="2">
      <x v="71"/>
    </i>
    <i r="1">
      <x v="12"/>
      <x v="88"/>
    </i>
    <i r="1">
      <x v="13"/>
      <x/>
    </i>
    <i r="2">
      <x v="3"/>
    </i>
    <i r="2">
      <x v="73"/>
    </i>
    <i r="2">
      <x v="100"/>
    </i>
    <i r="1">
      <x v="17"/>
      <x v="8"/>
    </i>
    <i r="1">
      <x v="18"/>
      <x v="5"/>
    </i>
    <i r="2">
      <x v="6"/>
    </i>
    <i t="blank">
      <x v="73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1052">
      <pivotArea field="2" type="button" dataOnly="0" labelOnly="1" outline="0" axis="axisRow" fieldPosition="0"/>
    </format>
    <format dxfId="1051">
      <pivotArea outline="0" fieldPosition="0">
        <references count="1">
          <reference field="4294967294" count="1">
            <x v="0"/>
          </reference>
        </references>
      </pivotArea>
    </format>
    <format dxfId="1050">
      <pivotArea outline="0" fieldPosition="0">
        <references count="1">
          <reference field="4294967294" count="1">
            <x v="1"/>
          </reference>
        </references>
      </pivotArea>
    </format>
    <format dxfId="1049">
      <pivotArea outline="0" fieldPosition="0">
        <references count="1">
          <reference field="4294967294" count="1">
            <x v="2"/>
          </reference>
        </references>
      </pivotArea>
    </format>
    <format dxfId="1048">
      <pivotArea outline="0" fieldPosition="0">
        <references count="1">
          <reference field="4294967294" count="1">
            <x v="3"/>
          </reference>
        </references>
      </pivotArea>
    </format>
    <format dxfId="1047">
      <pivotArea outline="0" fieldPosition="0">
        <references count="1">
          <reference field="4294967294" count="1">
            <x v="4"/>
          </reference>
        </references>
      </pivotArea>
    </format>
    <format dxfId="1046">
      <pivotArea outline="0" fieldPosition="0">
        <references count="1">
          <reference field="4294967294" count="1">
            <x v="5"/>
          </reference>
        </references>
      </pivotArea>
    </format>
    <format dxfId="1045">
      <pivotArea outline="0" fieldPosition="0">
        <references count="1">
          <reference field="4294967294" count="1">
            <x v="6"/>
          </reference>
        </references>
      </pivotArea>
    </format>
    <format dxfId="1044">
      <pivotArea field="2" type="button" dataOnly="0" labelOnly="1" outline="0" axis="axisRow" fieldPosition="0"/>
    </format>
    <format dxfId="104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42">
      <pivotArea field="2" type="button" dataOnly="0" labelOnly="1" outline="0" axis="axisRow" fieldPosition="0"/>
    </format>
    <format dxfId="104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40">
      <pivotArea field="2" type="button" dataOnly="0" labelOnly="1" outline="0" axis="axisRow" fieldPosition="0"/>
    </format>
    <format dxfId="103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3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3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36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C63807-22D1-4CDD-B3C7-75AA441C66E7}" name="LTBL_11000" displayName="LTBL_11000" ref="B4:I20" totalsRowCount="1">
  <autoFilter ref="B4:I19" xr:uid="{DFC63807-22D1-4CDD-B3C7-75AA441C66E7}"/>
  <tableColumns count="8">
    <tableColumn id="9" xr3:uid="{6A5EBCA8-FF06-4F91-9A29-997583F5E1BE}" name="産業大分類" totalsRowLabel="合計" totalsRowDxfId="1035"/>
    <tableColumn id="10" xr3:uid="{725EDDF7-0BF9-4757-8611-05A299F238FC}" name="総数／事業所数" totalsRowFunction="custom" totalsRowDxfId="1034" dataCellStyle="桁区切り" totalsRowCellStyle="桁区切り">
      <totalsRowFormula>SUM(LTBL_11000[総数／事業所数])</totalsRowFormula>
    </tableColumn>
    <tableColumn id="11" xr3:uid="{C4881A59-36C4-4F94-91E8-3F5947309C54}" name="総数／構成比" dataDxfId="1033"/>
    <tableColumn id="12" xr3:uid="{17B222DF-8BEE-4F65-839D-0ADD376799A3}" name="個人／事業所数" totalsRowFunction="sum" totalsRowDxfId="1032" dataCellStyle="桁区切り" totalsRowCellStyle="桁区切り"/>
    <tableColumn id="13" xr3:uid="{73DE2283-8D91-44BE-9FDE-5AC5AA316C0F}" name="個人／構成比" dataDxfId="1031"/>
    <tableColumn id="14" xr3:uid="{7D10D617-8AC0-4051-8410-1F3070E651C2}" name="法人／事業所数" totalsRowFunction="sum" totalsRowDxfId="1030" dataCellStyle="桁区切り" totalsRowCellStyle="桁区切り"/>
    <tableColumn id="15" xr3:uid="{BCD1EBFD-DF27-4D29-8E12-60B64E30A37E}" name="法人／構成比" dataDxfId="1029"/>
    <tableColumn id="16" xr3:uid="{E8670824-7AEE-4F79-B49A-D4E83889AE63}" name="法人以外の団体／事業所数" totalsRowFunction="sum" totalsRowDxfId="1028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9ED178F-A503-4A57-9656-5AB9A1D87B7C}" name="LTBL_11102" displayName="LTBL_11102" ref="B4:I20" totalsRowCount="1">
  <autoFilter ref="B4:I19" xr:uid="{49ED178F-A503-4A57-9656-5AB9A1D87B7C}"/>
  <tableColumns count="8">
    <tableColumn id="9" xr3:uid="{65E8C7DD-2DA8-4AD7-B048-BD4FAF42D786}" name="産業大分類" totalsRowLabel="合計" totalsRowDxfId="993"/>
    <tableColumn id="10" xr3:uid="{7084C018-A2DE-44ED-83E6-BD7D061A4023}" name="総数／事業所数" totalsRowFunction="custom" totalsRowDxfId="992" dataCellStyle="桁区切り" totalsRowCellStyle="桁区切り">
      <totalsRowFormula>SUM(LTBL_11102[総数／事業所数])</totalsRowFormula>
    </tableColumn>
    <tableColumn id="11" xr3:uid="{356B1AD8-A90E-4EF5-8853-FDE1154409A8}" name="総数／構成比" dataDxfId="991"/>
    <tableColumn id="12" xr3:uid="{4C9205A9-23FC-4DA7-9F22-CED465A27E37}" name="個人／事業所数" totalsRowFunction="sum" totalsRowDxfId="990" dataCellStyle="桁区切り" totalsRowCellStyle="桁区切り"/>
    <tableColumn id="13" xr3:uid="{703FBB56-D17B-417A-AC8F-C5D406711FDE}" name="個人／構成比" dataDxfId="989"/>
    <tableColumn id="14" xr3:uid="{593E97D3-34D7-4B15-B325-64126E49E7EF}" name="法人／事業所数" totalsRowFunction="sum" totalsRowDxfId="988" dataCellStyle="桁区切り" totalsRowCellStyle="桁区切り"/>
    <tableColumn id="15" xr3:uid="{E0C0AFCC-E6B2-4108-B813-74D54E335F81}" name="法人／構成比" dataDxfId="987"/>
    <tableColumn id="16" xr3:uid="{F3652165-310D-4BB4-93AE-7F10B462DC54}" name="法人以外の団体／事業所数" totalsRowFunction="sum" totalsRowDxfId="986" dataCellStyle="桁区切り" totalsRowCellStyle="桁区切り"/>
  </tableColumns>
  <tableStyleInfo name="TableStyleMedium9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2213D48A-F464-4B69-9C3C-807212918630}" name="LTBL_11227" displayName="LTBL_11227" ref="B4:I20" totalsRowCount="1">
  <autoFilter ref="B4:I19" xr:uid="{2213D48A-F464-4B69-9C3C-807212918630}"/>
  <tableColumns count="8">
    <tableColumn id="9" xr3:uid="{C3B61C51-FE76-4BCB-8E6D-FB1191D5F0C4}" name="産業大分類" totalsRowLabel="合計" totalsRowDxfId="573"/>
    <tableColumn id="10" xr3:uid="{00224FB4-4AC6-4910-8867-EA9CE8154F9B}" name="総数／事業所数" totalsRowFunction="custom" totalsRowDxfId="572" dataCellStyle="桁区切り" totalsRowCellStyle="桁区切り">
      <totalsRowFormula>SUM(LTBL_11227[総数／事業所数])</totalsRowFormula>
    </tableColumn>
    <tableColumn id="11" xr3:uid="{6AC49979-3A4E-488D-8F90-B0784CD1BE0C}" name="総数／構成比" dataDxfId="571"/>
    <tableColumn id="12" xr3:uid="{5FD9F66D-AA3D-4A8C-96B9-730006E3F485}" name="個人／事業所数" totalsRowFunction="sum" totalsRowDxfId="570" dataCellStyle="桁区切り" totalsRowCellStyle="桁区切り"/>
    <tableColumn id="13" xr3:uid="{B7E0545E-3FDE-405A-9350-973FF9754B03}" name="個人／構成比" dataDxfId="569"/>
    <tableColumn id="14" xr3:uid="{A7493006-7256-4073-A614-3AE524359EEC}" name="法人／事業所数" totalsRowFunction="sum" totalsRowDxfId="568" dataCellStyle="桁区切り" totalsRowCellStyle="桁区切り"/>
    <tableColumn id="15" xr3:uid="{0D185048-F955-43B5-98AB-487E762C9C6E}" name="法人／構成比" dataDxfId="567"/>
    <tableColumn id="16" xr3:uid="{53DB4C3B-4F11-4EA7-8559-66A4A6209091}" name="法人以外の団体／事業所数" totalsRowFunction="sum" totalsRowDxfId="566" dataCellStyle="桁区切り" totalsRow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588AFE95-C4DA-4F9D-AB3F-B46A6071099F}" name="M_TABLE_11227" displayName="M_TABLE_11227" ref="B23:I45" totalsRowShown="0">
  <autoFilter ref="B23:I45" xr:uid="{588AFE95-C4DA-4F9D-AB3F-B46A6071099F}"/>
  <tableColumns count="8">
    <tableColumn id="9" xr3:uid="{4F7C84D9-F36B-48B5-BE90-F2D9A180EEB9}" name="産業中分類上位２０"/>
    <tableColumn id="10" xr3:uid="{272CA823-4A49-4BBB-9262-4170D21D2D1C}" name="総数／事業所数" dataCellStyle="桁区切り"/>
    <tableColumn id="11" xr3:uid="{624CE5CD-D874-4E1C-A0B0-5238AE054DE3}" name="総数／構成比" dataDxfId="565"/>
    <tableColumn id="12" xr3:uid="{0BB4E9D7-FD99-40EF-9430-B9FC34AB17F3}" name="個人／事業所数" dataCellStyle="桁区切り"/>
    <tableColumn id="13" xr3:uid="{5346B6C2-D118-44AD-A348-F768D360BFAA}" name="個人／構成比" dataDxfId="564"/>
    <tableColumn id="14" xr3:uid="{C2F15BAA-B242-4390-B290-CF75B9253297}" name="法人／事業所数" dataCellStyle="桁区切り"/>
    <tableColumn id="15" xr3:uid="{FADD2297-2048-4BA5-ADA3-D7A85FA17758}" name="法人／構成比" dataDxfId="563"/>
    <tableColumn id="16" xr3:uid="{43ED891C-B3CD-4838-BD58-0604F1423370}" name="法人以外の団体／事業所数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90395573-250A-40DA-BA65-4A286C784DF2}" name="S_TABLE_11227" displayName="S_TABLE_11227" ref="B48:I69" totalsRowShown="0">
  <autoFilter ref="B48:I69" xr:uid="{90395573-250A-40DA-BA65-4A286C784DF2}"/>
  <tableColumns count="8">
    <tableColumn id="9" xr3:uid="{409F834A-FE5F-4D01-ACAA-872A5C1A6746}" name="産業小分類上位２０"/>
    <tableColumn id="10" xr3:uid="{A6749B55-A4C8-4D98-B46A-17AEEA69598B}" name="総数／事業所数" dataCellStyle="桁区切り"/>
    <tableColumn id="11" xr3:uid="{91A7E0B2-9B0F-4424-994C-DF0EE21EA94E}" name="総数／構成比" dataDxfId="562"/>
    <tableColumn id="12" xr3:uid="{EEA95CC6-DDCF-42C9-95EF-62160E1B6961}" name="個人／事業所数" dataCellStyle="桁区切り"/>
    <tableColumn id="13" xr3:uid="{F3D32DA6-4315-44C0-BD91-113C273F5064}" name="個人／構成比" dataDxfId="561"/>
    <tableColumn id="14" xr3:uid="{AA26698A-D2A1-477D-9D10-D31969F5ABA3}" name="法人／事業所数" dataCellStyle="桁区切り"/>
    <tableColumn id="15" xr3:uid="{D915CE24-80A5-4E48-9317-45E8D303A28A}" name="法人／構成比" dataDxfId="560"/>
    <tableColumn id="16" xr3:uid="{B47E4DE2-D316-4FDA-BAA3-5EEA24AD4D80}" name="法人以外の団体／事業所数" dataCellStyle="桁区切り"/>
  </tableColumns>
  <tableStyleInfo name="TableStyleMedium9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72A62CCA-DF4C-474F-846E-73BDD6D2D4DB}" name="LTBL_11228" displayName="LTBL_11228" ref="B4:I20" totalsRowCount="1">
  <autoFilter ref="B4:I19" xr:uid="{72A62CCA-DF4C-474F-846E-73BDD6D2D4DB}"/>
  <tableColumns count="8">
    <tableColumn id="9" xr3:uid="{7CF9C21C-674A-4A08-8F92-82154D2DAA5F}" name="産業大分類" totalsRowLabel="合計" totalsRowDxfId="559"/>
    <tableColumn id="10" xr3:uid="{045F941A-1936-4BFD-B58E-3D573147AA2D}" name="総数／事業所数" totalsRowFunction="custom" totalsRowDxfId="558" dataCellStyle="桁区切り" totalsRowCellStyle="桁区切り">
      <totalsRowFormula>SUM(LTBL_11228[総数／事業所数])</totalsRowFormula>
    </tableColumn>
    <tableColumn id="11" xr3:uid="{2A41FDF3-6550-4D21-9766-AAB26EA71357}" name="総数／構成比" dataDxfId="557"/>
    <tableColumn id="12" xr3:uid="{9A06A457-7C35-401D-8ED3-BF72A40EC0CC}" name="個人／事業所数" totalsRowFunction="sum" totalsRowDxfId="556" dataCellStyle="桁区切り" totalsRowCellStyle="桁区切り"/>
    <tableColumn id="13" xr3:uid="{3601AA62-6A82-4DF3-B74B-14123072F542}" name="個人／構成比" dataDxfId="555"/>
    <tableColumn id="14" xr3:uid="{042D932E-2219-41B3-A310-13AA386A5C12}" name="法人／事業所数" totalsRowFunction="sum" totalsRowDxfId="554" dataCellStyle="桁区切り" totalsRowCellStyle="桁区切り"/>
    <tableColumn id="15" xr3:uid="{DAD26178-8135-468A-A641-FBF4F1E19490}" name="法人／構成比" dataDxfId="553"/>
    <tableColumn id="16" xr3:uid="{3EBED6CC-0D76-4D04-9978-8BE8AA3FAA8A}" name="法人以外の団体／事業所数" totalsRowFunction="sum" totalsRowDxfId="552" dataCellStyle="桁区切り" totalsRow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B96F1793-8F23-4F38-BA21-4A9150E07030}" name="M_TABLE_11228" displayName="M_TABLE_11228" ref="B23:I45" totalsRowShown="0">
  <autoFilter ref="B23:I45" xr:uid="{B96F1793-8F23-4F38-BA21-4A9150E07030}"/>
  <tableColumns count="8">
    <tableColumn id="9" xr3:uid="{34278380-79FC-4C33-8217-8CD1C81743D8}" name="産業中分類上位２０"/>
    <tableColumn id="10" xr3:uid="{2FF21156-1C8D-45C0-9D18-1CC774997158}" name="総数／事業所数" dataCellStyle="桁区切り"/>
    <tableColumn id="11" xr3:uid="{01A5D27C-C65B-46EB-8DF0-EFE353665A6F}" name="総数／構成比" dataDxfId="551"/>
    <tableColumn id="12" xr3:uid="{3948D3C9-2717-497F-A0F6-D913D6CF3F96}" name="個人／事業所数" dataCellStyle="桁区切り"/>
    <tableColumn id="13" xr3:uid="{4CAB0419-9D81-4E14-9064-4677C38A4FC1}" name="個人／構成比" dataDxfId="550"/>
    <tableColumn id="14" xr3:uid="{3E924A02-B67F-4604-BF08-BF75AC769B62}" name="法人／事業所数" dataCellStyle="桁区切り"/>
    <tableColumn id="15" xr3:uid="{E9A3AB92-9E13-4D6E-8E39-2B171754E945}" name="法人／構成比" dataDxfId="549"/>
    <tableColumn id="16" xr3:uid="{88D8805F-0A67-4251-A8DA-3C1DD793DC1D}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D0B5CAAA-C90E-4522-A599-CB8B1A80E752}" name="S_TABLE_11228" displayName="S_TABLE_11228" ref="B48:I68" totalsRowShown="0">
  <autoFilter ref="B48:I68" xr:uid="{D0B5CAAA-C90E-4522-A599-CB8B1A80E752}"/>
  <tableColumns count="8">
    <tableColumn id="9" xr3:uid="{4AC583D7-0832-41B5-A515-21A10B947E76}" name="産業小分類上位２０"/>
    <tableColumn id="10" xr3:uid="{E1FD7706-9D98-470C-A625-6DB7288475CA}" name="総数／事業所数" dataCellStyle="桁区切り"/>
    <tableColumn id="11" xr3:uid="{E831DBE2-8E73-4B24-BED0-D42861822AC8}" name="総数／構成比" dataDxfId="548"/>
    <tableColumn id="12" xr3:uid="{67845DED-67A1-4816-A7AB-F498B32A23F7}" name="個人／事業所数" dataCellStyle="桁区切り"/>
    <tableColumn id="13" xr3:uid="{F78B0A33-B4C5-49EA-8826-900BFF24BD26}" name="個人／構成比" dataDxfId="547"/>
    <tableColumn id="14" xr3:uid="{8A4A04DA-CA75-4A88-A873-E26206513391}" name="法人／事業所数" dataCellStyle="桁区切り"/>
    <tableColumn id="15" xr3:uid="{A50500F2-874B-4CF1-AA57-7DAD39A0EE75}" name="法人／構成比" dataDxfId="546"/>
    <tableColumn id="16" xr3:uid="{78B4E80B-EF54-49F3-BE35-54E57498072C}" name="法人以外の団体／事業所数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95FE9DBA-DABF-4C17-B565-282D9AEAD2FF}" name="LTBL_11229" displayName="LTBL_11229" ref="B4:I20" totalsRowCount="1">
  <autoFilter ref="B4:I19" xr:uid="{95FE9DBA-DABF-4C17-B565-282D9AEAD2FF}"/>
  <tableColumns count="8">
    <tableColumn id="9" xr3:uid="{02CE8EDB-4562-433B-A925-26F49DE01C25}" name="産業大分類" totalsRowLabel="合計" totalsRowDxfId="545"/>
    <tableColumn id="10" xr3:uid="{49E2A996-CE88-4B74-9DC7-BB838AC69D7D}" name="総数／事業所数" totalsRowFunction="custom" totalsRowDxfId="544" dataCellStyle="桁区切り" totalsRowCellStyle="桁区切り">
      <totalsRowFormula>SUM(LTBL_11229[総数／事業所数])</totalsRowFormula>
    </tableColumn>
    <tableColumn id="11" xr3:uid="{5C726F30-691E-43E2-A0AF-2433894F0017}" name="総数／構成比" dataDxfId="543"/>
    <tableColumn id="12" xr3:uid="{0CF1E669-2870-400E-B322-B63AC5BEE0AF}" name="個人／事業所数" totalsRowFunction="sum" totalsRowDxfId="542" dataCellStyle="桁区切り" totalsRowCellStyle="桁区切り"/>
    <tableColumn id="13" xr3:uid="{C152C5C4-6FC2-4D0E-B03A-3A361E991F26}" name="個人／構成比" dataDxfId="541"/>
    <tableColumn id="14" xr3:uid="{260EF592-CA0B-4BF7-BAE2-7F1E39B5C95E}" name="法人／事業所数" totalsRowFunction="sum" totalsRowDxfId="540" dataCellStyle="桁区切り" totalsRowCellStyle="桁区切り"/>
    <tableColumn id="15" xr3:uid="{B1C00384-4C8C-4207-A671-577A847ADA84}" name="法人／構成比" dataDxfId="539"/>
    <tableColumn id="16" xr3:uid="{CFB32720-269D-4014-9029-39AE70443767}" name="法人以外の団体／事業所数" totalsRowFunction="sum" totalsRowDxfId="538" dataCellStyle="桁区切り" totalsRowCellStyle="桁区切り"/>
  </tableColumns>
  <tableStyleInfo name="TableStyleMedium9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F499C143-A477-4050-BDA9-9D1D42D95BED}" name="M_TABLE_11229" displayName="M_TABLE_11229" ref="B23:I44" totalsRowShown="0">
  <autoFilter ref="B23:I44" xr:uid="{F499C143-A477-4050-BDA9-9D1D42D95BED}"/>
  <tableColumns count="8">
    <tableColumn id="9" xr3:uid="{4DA6F2EB-BCC8-438E-BAAF-E648BD649F57}" name="産業中分類上位２０"/>
    <tableColumn id="10" xr3:uid="{86606F47-E28F-42BC-8A69-DEE4FEC8B93D}" name="総数／事業所数" dataCellStyle="桁区切り"/>
    <tableColumn id="11" xr3:uid="{DA743577-A61D-42C5-928A-308222817D2E}" name="総数／構成比" dataDxfId="537"/>
    <tableColumn id="12" xr3:uid="{8E15F1CA-10BC-49C2-9435-C37321144945}" name="個人／事業所数" dataCellStyle="桁区切り"/>
    <tableColumn id="13" xr3:uid="{622B89CF-ED36-4EF0-B2D2-628D6620BC48}" name="個人／構成比" dataDxfId="536"/>
    <tableColumn id="14" xr3:uid="{7AD25EDC-649C-4F75-A037-7DE3EB8595EE}" name="法人／事業所数" dataCellStyle="桁区切り"/>
    <tableColumn id="15" xr3:uid="{500173FC-2851-458F-AC6D-43F9F7B9251A}" name="法人／構成比" dataDxfId="535"/>
    <tableColumn id="16" xr3:uid="{FD3A171E-57D7-4D7F-8241-5F58BEA6C6AB}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BE41A722-9136-4B09-8B46-7B8EE54C2590}" name="S_TABLE_11229" displayName="S_TABLE_11229" ref="B47:I68" totalsRowShown="0">
  <autoFilter ref="B47:I68" xr:uid="{BE41A722-9136-4B09-8B46-7B8EE54C2590}"/>
  <tableColumns count="8">
    <tableColumn id="9" xr3:uid="{5377D0B6-5E2E-4182-B702-8CDCDF451A8C}" name="産業小分類上位２０"/>
    <tableColumn id="10" xr3:uid="{F3F9D28A-A358-4B96-A3AC-BD0335327D91}" name="総数／事業所数" dataCellStyle="桁区切り"/>
    <tableColumn id="11" xr3:uid="{C24D0552-9564-4E35-BE48-E0390F6275E6}" name="総数／構成比" dataDxfId="534"/>
    <tableColumn id="12" xr3:uid="{2CCC5B8E-72DB-47D1-87FB-FC4BE7637EC8}" name="個人／事業所数" dataCellStyle="桁区切り"/>
    <tableColumn id="13" xr3:uid="{E5605B11-704F-4C38-B8B4-21851B8122B8}" name="個人／構成比" dataDxfId="533"/>
    <tableColumn id="14" xr3:uid="{95D09C62-11E4-4989-80A1-A6473C854913}" name="法人／事業所数" dataCellStyle="桁区切り"/>
    <tableColumn id="15" xr3:uid="{2BA14C33-952F-497A-A88D-A2516B28BE9F}" name="法人／構成比" dataDxfId="532"/>
    <tableColumn id="16" xr3:uid="{7070FAAC-BE15-47D2-97BF-32BA3216B72B}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B30937DE-F4F6-4E09-80EA-110138F03254}" name="LTBL_11230" displayName="LTBL_11230" ref="B4:I20" totalsRowCount="1">
  <autoFilter ref="B4:I19" xr:uid="{B30937DE-F4F6-4E09-80EA-110138F03254}"/>
  <tableColumns count="8">
    <tableColumn id="9" xr3:uid="{FC8E710B-F582-4D88-B063-7B242F084726}" name="産業大分類" totalsRowLabel="合計" totalsRowDxfId="531"/>
    <tableColumn id="10" xr3:uid="{78072EF6-4C9F-4F9D-B074-CB048B58AE47}" name="総数／事業所数" totalsRowFunction="custom" totalsRowDxfId="530" dataCellStyle="桁区切り" totalsRowCellStyle="桁区切り">
      <totalsRowFormula>SUM(LTBL_11230[総数／事業所数])</totalsRowFormula>
    </tableColumn>
    <tableColumn id="11" xr3:uid="{81BD354D-CF78-4799-B694-39244467D7AF}" name="総数／構成比" dataDxfId="529"/>
    <tableColumn id="12" xr3:uid="{89B3BDB7-D0C5-4207-99B2-1FFEB3FF42F9}" name="個人／事業所数" totalsRowFunction="sum" totalsRowDxfId="528" dataCellStyle="桁区切り" totalsRowCellStyle="桁区切り"/>
    <tableColumn id="13" xr3:uid="{0BA373A3-FCD8-45E9-9486-648819D001EF}" name="個人／構成比" dataDxfId="527"/>
    <tableColumn id="14" xr3:uid="{52A6CA7D-8DDE-4A0E-823B-3B925783C462}" name="法人／事業所数" totalsRowFunction="sum" totalsRowDxfId="526" dataCellStyle="桁区切り" totalsRowCellStyle="桁区切り"/>
    <tableColumn id="15" xr3:uid="{0B4DA0F6-DACD-4D55-BEF3-3F702A27191B}" name="法人／構成比" dataDxfId="525"/>
    <tableColumn id="16" xr3:uid="{AFAF1544-BBEE-4FC1-8834-0050E6E4DCB7}" name="法人以外の団体／事業所数" totalsRowFunction="sum" totalsRowDxfId="524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C526E19-2173-4998-B708-A4ABD93361C9}" name="M_TABLE_11102" displayName="M_TABLE_11102" ref="B23:I43" totalsRowShown="0">
  <autoFilter ref="B23:I43" xr:uid="{8C526E19-2173-4998-B708-A4ABD93361C9}"/>
  <tableColumns count="8">
    <tableColumn id="9" xr3:uid="{3528DD7F-11B5-4BD7-947B-E30142EB5A3E}" name="産業中分類上位２０"/>
    <tableColumn id="10" xr3:uid="{28148BFC-B5D7-4A8A-B61A-77FD74A4DF67}" name="総数／事業所数" dataCellStyle="桁区切り"/>
    <tableColumn id="11" xr3:uid="{88ADC65F-D98F-4090-9276-FB162E4B0966}" name="総数／構成比" dataDxfId="985"/>
    <tableColumn id="12" xr3:uid="{028F999E-B5B3-40D8-9258-8371E710FA08}" name="個人／事業所数" dataCellStyle="桁区切り"/>
    <tableColumn id="13" xr3:uid="{10F7AA22-C6B1-4F9E-9A64-E736449C031C}" name="個人／構成比" dataDxfId="984"/>
    <tableColumn id="14" xr3:uid="{744CD1FD-1A46-4D95-9CB9-A79971848233}" name="法人／事業所数" dataCellStyle="桁区切り"/>
    <tableColumn id="15" xr3:uid="{42E3231E-2858-40A1-974F-B265D91EEE79}" name="法人／構成比" dataDxfId="983"/>
    <tableColumn id="16" xr3:uid="{696BC61C-EFE8-4D71-B3BC-58F034C537ED}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22439EC9-1FF7-4D70-ABCE-2E2C6FF73453}" name="M_TABLE_11230" displayName="M_TABLE_11230" ref="B23:I44" totalsRowShown="0">
  <autoFilter ref="B23:I44" xr:uid="{22439EC9-1FF7-4D70-ABCE-2E2C6FF73453}"/>
  <tableColumns count="8">
    <tableColumn id="9" xr3:uid="{EEB6CF3B-477E-415B-BF50-D7B6FB98EC89}" name="産業中分類上位２０"/>
    <tableColumn id="10" xr3:uid="{3295D3CB-3214-4539-8240-60F9754CAC9C}" name="総数／事業所数" dataCellStyle="桁区切り"/>
    <tableColumn id="11" xr3:uid="{CF538C1A-3DEA-430F-ACFF-95681D24B73B}" name="総数／構成比" dataDxfId="523"/>
    <tableColumn id="12" xr3:uid="{1477640F-7DB9-47A4-8505-FED0AC22CC12}" name="個人／事業所数" dataCellStyle="桁区切り"/>
    <tableColumn id="13" xr3:uid="{A313A2AF-E163-4B46-A34E-7289603068FF}" name="個人／構成比" dataDxfId="522"/>
    <tableColumn id="14" xr3:uid="{14E5033B-7356-427D-938F-F45210AF3862}" name="法人／事業所数" dataCellStyle="桁区切り"/>
    <tableColumn id="15" xr3:uid="{A9D7A16B-F46B-47D4-AEED-6C77AAAFBE28}" name="法人／構成比" dataDxfId="521"/>
    <tableColumn id="16" xr3:uid="{8C2B87B3-8C87-4BC3-8209-A4E7BBDA7382}" name="法人以外の団体／事業所数" dataCellStyle="桁区切り"/>
  </tableColumns>
  <tableStyleInfo name="TableStyleMedium9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B33F6B88-5B0B-429E-8A55-BD607ED9C791}" name="S_TABLE_11230" displayName="S_TABLE_11230" ref="B47:I68" totalsRowShown="0">
  <autoFilter ref="B47:I68" xr:uid="{B33F6B88-5B0B-429E-8A55-BD607ED9C791}"/>
  <tableColumns count="8">
    <tableColumn id="9" xr3:uid="{7FB98440-162E-42B9-812A-892289BBA315}" name="産業小分類上位２０"/>
    <tableColumn id="10" xr3:uid="{4D73455F-94A1-44CA-933A-43B12A4C264A}" name="総数／事業所数" dataCellStyle="桁区切り"/>
    <tableColumn id="11" xr3:uid="{2E04C4CF-1DE8-4FE0-8817-754F981FC7A6}" name="総数／構成比" dataDxfId="520"/>
    <tableColumn id="12" xr3:uid="{6E600CD4-4979-445E-8FF5-B2725F8B9BC7}" name="個人／事業所数" dataCellStyle="桁区切り"/>
    <tableColumn id="13" xr3:uid="{9D9003F6-E18F-4F7C-96BF-4D318C84A98D}" name="個人／構成比" dataDxfId="519"/>
    <tableColumn id="14" xr3:uid="{7D62D626-6C4E-47B7-BBAB-D708256044F4}" name="法人／事業所数" dataCellStyle="桁区切り"/>
    <tableColumn id="15" xr3:uid="{E9C47857-22E5-4357-A1FF-E1A4086991D8}" name="法人／構成比" dataDxfId="518"/>
    <tableColumn id="16" xr3:uid="{8D792934-1089-4196-B5CA-5C721D7A4781}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A95527A8-C249-421D-8170-6C8A2F772952}" name="LTBL_11231" displayName="LTBL_11231" ref="B4:I20" totalsRowCount="1">
  <autoFilter ref="B4:I19" xr:uid="{A95527A8-C249-421D-8170-6C8A2F772952}"/>
  <tableColumns count="8">
    <tableColumn id="9" xr3:uid="{9B2D681F-335C-41A0-AF8D-BBCF8E78BD78}" name="産業大分類" totalsRowLabel="合計" totalsRowDxfId="517"/>
    <tableColumn id="10" xr3:uid="{BD458252-B17F-4206-951E-2FC9C59C2EF4}" name="総数／事業所数" totalsRowFunction="custom" totalsRowDxfId="516" dataCellStyle="桁区切り" totalsRowCellStyle="桁区切り">
      <totalsRowFormula>SUM(LTBL_11231[総数／事業所数])</totalsRowFormula>
    </tableColumn>
    <tableColumn id="11" xr3:uid="{FA0A5D63-0823-4682-AF04-257A67AD415C}" name="総数／構成比" dataDxfId="515"/>
    <tableColumn id="12" xr3:uid="{8A2F9537-EE64-451E-9108-4C696CD15D50}" name="個人／事業所数" totalsRowFunction="sum" totalsRowDxfId="514" dataCellStyle="桁区切り" totalsRowCellStyle="桁区切り"/>
    <tableColumn id="13" xr3:uid="{D094CEC8-3023-445A-BE69-A08B94A264EA}" name="個人／構成比" dataDxfId="513"/>
    <tableColumn id="14" xr3:uid="{CC04BA1E-34C1-44D7-9553-F83080DCF38D}" name="法人／事業所数" totalsRowFunction="sum" totalsRowDxfId="512" dataCellStyle="桁区切り" totalsRowCellStyle="桁区切り"/>
    <tableColumn id="15" xr3:uid="{77CA0279-67BA-4692-88C4-585373619EAD}" name="法人／構成比" dataDxfId="511"/>
    <tableColumn id="16" xr3:uid="{874266C4-0FA2-48FD-BBCF-9F257B4CBF16}" name="法人以外の団体／事業所数" totalsRowFunction="sum" totalsRowDxfId="510" dataCellStyle="桁区切り" totalsRow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CD313323-6AB2-4974-86B8-4A95AC0F3286}" name="M_TABLE_11231" displayName="M_TABLE_11231" ref="B23:I43" totalsRowShown="0">
  <autoFilter ref="B23:I43" xr:uid="{CD313323-6AB2-4974-86B8-4A95AC0F3286}"/>
  <tableColumns count="8">
    <tableColumn id="9" xr3:uid="{0CAC8053-84D7-421D-AF1E-A77E84661A41}" name="産業中分類上位２０"/>
    <tableColumn id="10" xr3:uid="{64FFF60E-E765-4A13-980C-65300EA4B0AE}" name="総数／事業所数" dataCellStyle="桁区切り"/>
    <tableColumn id="11" xr3:uid="{328CD0AE-FB25-42A1-A596-B5E944EC2EE5}" name="総数／構成比" dataDxfId="509"/>
    <tableColumn id="12" xr3:uid="{306DE7DE-4A5C-438F-8B78-5F5A88A0834E}" name="個人／事業所数" dataCellStyle="桁区切り"/>
    <tableColumn id="13" xr3:uid="{F16F341B-E39B-496B-AD95-13802663BEB8}" name="個人／構成比" dataDxfId="508"/>
    <tableColumn id="14" xr3:uid="{AF14972F-F1BD-4127-83D1-989CBA1D15B9}" name="法人／事業所数" dataCellStyle="桁区切り"/>
    <tableColumn id="15" xr3:uid="{A59518CF-6AC3-484D-A6C8-97FF8EA56B91}" name="法人／構成比" dataDxfId="507"/>
    <tableColumn id="16" xr3:uid="{A9290223-FA57-4B51-810E-EFCC7F6AAFCD}" name="法人以外の団体／事業所数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D4C5C45B-86A1-4361-A7CC-71ACF1A383B7}" name="S_TABLE_11231" displayName="S_TABLE_11231" ref="B46:I66" totalsRowShown="0">
  <autoFilter ref="B46:I66" xr:uid="{D4C5C45B-86A1-4361-A7CC-71ACF1A383B7}"/>
  <tableColumns count="8">
    <tableColumn id="9" xr3:uid="{F8AE0B69-D0EC-40D0-8806-37DC6C1902C0}" name="産業小分類上位２０"/>
    <tableColumn id="10" xr3:uid="{3E981AC4-BBC4-42ED-BFD9-0BAD531EE5E1}" name="総数／事業所数" dataCellStyle="桁区切り"/>
    <tableColumn id="11" xr3:uid="{98CEF567-7862-4F7F-9100-0BC6047DCECE}" name="総数／構成比" dataDxfId="506"/>
    <tableColumn id="12" xr3:uid="{FB9DB2ED-609F-42C0-8FD4-E82F8B4979EE}" name="個人／事業所数" dataCellStyle="桁区切り"/>
    <tableColumn id="13" xr3:uid="{92A013DB-DD04-435E-AB94-8A33F4B246B9}" name="個人／構成比" dataDxfId="505"/>
    <tableColumn id="14" xr3:uid="{1EA492A5-D40C-49F4-8045-83B73C6E9533}" name="法人／事業所数" dataCellStyle="桁区切り"/>
    <tableColumn id="15" xr3:uid="{9A851F21-B1A3-4FAC-8882-6219394AD213}" name="法人／構成比" dataDxfId="504"/>
    <tableColumn id="16" xr3:uid="{5C6495D8-8A5E-4F92-9629-6F7B80DC439E}" name="法人以外の団体／事業所数" dataCellStyle="桁区切り"/>
  </tableColumns>
  <tableStyleInfo name="TableStyleMedium9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67F496A8-8880-4930-A12B-0BA56D373CE2}" name="LTBL_11232" displayName="LTBL_11232" ref="B4:I20" totalsRowCount="1">
  <autoFilter ref="B4:I19" xr:uid="{67F496A8-8880-4930-A12B-0BA56D373CE2}"/>
  <tableColumns count="8">
    <tableColumn id="9" xr3:uid="{D530FFBD-6B4E-477F-A537-16833CE49A55}" name="産業大分類" totalsRowLabel="合計" totalsRowDxfId="503"/>
    <tableColumn id="10" xr3:uid="{799C2B19-9D4B-4A3F-A097-CDB25B218938}" name="総数／事業所数" totalsRowFunction="custom" totalsRowDxfId="502" dataCellStyle="桁区切り" totalsRowCellStyle="桁区切り">
      <totalsRowFormula>SUM(LTBL_11232[総数／事業所数])</totalsRowFormula>
    </tableColumn>
    <tableColumn id="11" xr3:uid="{FE747616-320E-46BE-8026-1C94D1030C16}" name="総数／構成比" dataDxfId="501"/>
    <tableColumn id="12" xr3:uid="{D924C4F4-04D4-4D2E-BD25-2B1265C8BABA}" name="個人／事業所数" totalsRowFunction="sum" totalsRowDxfId="500" dataCellStyle="桁区切り" totalsRowCellStyle="桁区切り"/>
    <tableColumn id="13" xr3:uid="{45362836-E61A-4485-BE05-1E41D50E5A01}" name="個人／構成比" dataDxfId="499"/>
    <tableColumn id="14" xr3:uid="{DE738F95-635A-47B3-984E-065D8A69EEF8}" name="法人／事業所数" totalsRowFunction="sum" totalsRowDxfId="498" dataCellStyle="桁区切り" totalsRowCellStyle="桁区切り"/>
    <tableColumn id="15" xr3:uid="{8A195DA8-8FE6-4575-98DC-9D98BD3D1846}" name="法人／構成比" dataDxfId="497"/>
    <tableColumn id="16" xr3:uid="{2745B9BE-D667-425D-BD06-D33EB03804AB}" name="法人以外の団体／事業所数" totalsRowFunction="sum" totalsRowDxfId="496" dataCellStyle="桁区切り" totalsRow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6907FFE3-1D39-436E-B996-7F1BCC7DBC31}" name="M_TABLE_11232" displayName="M_TABLE_11232" ref="B23:I43" totalsRowShown="0">
  <autoFilter ref="B23:I43" xr:uid="{6907FFE3-1D39-436E-B996-7F1BCC7DBC31}"/>
  <tableColumns count="8">
    <tableColumn id="9" xr3:uid="{E35D6F03-17DA-4344-964B-009A1112D61F}" name="産業中分類上位２０"/>
    <tableColumn id="10" xr3:uid="{40754818-7063-4191-9B8B-417A6552F75E}" name="総数／事業所数" dataCellStyle="桁区切り"/>
    <tableColumn id="11" xr3:uid="{35F3CE18-5173-4D7B-8C82-52920AFE4AB7}" name="総数／構成比" dataDxfId="495"/>
    <tableColumn id="12" xr3:uid="{9AB1B90D-0CD6-42B2-89F3-DC4CA4B9403F}" name="個人／事業所数" dataCellStyle="桁区切り"/>
    <tableColumn id="13" xr3:uid="{9E4EAB1A-B436-4C17-81CE-87B979CF0F9C}" name="個人／構成比" dataDxfId="494"/>
    <tableColumn id="14" xr3:uid="{16921EF9-9CA7-443D-8504-396A0400E08D}" name="法人／事業所数" dataCellStyle="桁区切り"/>
    <tableColumn id="15" xr3:uid="{7CB8A761-12C6-4344-989B-A72E6AC23873}" name="法人／構成比" dataDxfId="493"/>
    <tableColumn id="16" xr3:uid="{DA8631E3-C1DB-40B8-9CE6-BC07B4179E73}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F09AFA89-8D35-4221-BA72-BD038C93F92B}" name="S_TABLE_11232" displayName="S_TABLE_11232" ref="B46:I66" totalsRowShown="0">
  <autoFilter ref="B46:I66" xr:uid="{F09AFA89-8D35-4221-BA72-BD038C93F92B}"/>
  <tableColumns count="8">
    <tableColumn id="9" xr3:uid="{5A1853AC-BB00-49A7-A2BE-B7396EC625B8}" name="産業小分類上位２０"/>
    <tableColumn id="10" xr3:uid="{6D6ABD17-F3DD-48F1-BF11-F045F4474CF7}" name="総数／事業所数" dataCellStyle="桁区切り"/>
    <tableColumn id="11" xr3:uid="{20C443EF-B3EE-4538-A67A-E25B966EB4C2}" name="総数／構成比" dataDxfId="492"/>
    <tableColumn id="12" xr3:uid="{442677A8-53C0-49A8-8D0F-D202C06871D5}" name="個人／事業所数" dataCellStyle="桁区切り"/>
    <tableColumn id="13" xr3:uid="{8A446E37-14ED-4F7B-81F4-BEBB53BAA406}" name="個人／構成比" dataDxfId="491"/>
    <tableColumn id="14" xr3:uid="{95642DFA-DEE1-4DF6-8ACB-5462FD7D60A5}" name="法人／事業所数" dataCellStyle="桁区切り"/>
    <tableColumn id="15" xr3:uid="{2A5727B3-52A3-444F-9DD6-965C490591C9}" name="法人／構成比" dataDxfId="490"/>
    <tableColumn id="16" xr3:uid="{D0947A80-21A6-430D-909A-E72C42420802}" name="法人以外の団体／事業所数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816DCC9D-8221-4F7A-AEF2-CBC86812AD1F}" name="LTBL_11233" displayName="LTBL_11233" ref="B4:I20" totalsRowCount="1">
  <autoFilter ref="B4:I19" xr:uid="{816DCC9D-8221-4F7A-AEF2-CBC86812AD1F}"/>
  <tableColumns count="8">
    <tableColumn id="9" xr3:uid="{8492F552-5CA2-469F-8A8C-4AEEA18BA589}" name="産業大分類" totalsRowLabel="合計" totalsRowDxfId="489"/>
    <tableColumn id="10" xr3:uid="{62477731-35BB-44BB-A9F0-6FA71665D89C}" name="総数／事業所数" totalsRowFunction="custom" totalsRowDxfId="488" dataCellStyle="桁区切り" totalsRowCellStyle="桁区切り">
      <totalsRowFormula>SUM(LTBL_11233[総数／事業所数])</totalsRowFormula>
    </tableColumn>
    <tableColumn id="11" xr3:uid="{51861685-4B3C-44D1-A33C-84D47753C50A}" name="総数／構成比" dataDxfId="487"/>
    <tableColumn id="12" xr3:uid="{EBB6A553-EC84-4BD9-A92A-00E19A9FDC1B}" name="個人／事業所数" totalsRowFunction="sum" totalsRowDxfId="486" dataCellStyle="桁区切り" totalsRowCellStyle="桁区切り"/>
    <tableColumn id="13" xr3:uid="{6453B891-9A51-407C-A31E-34792CA44BFA}" name="個人／構成比" dataDxfId="485"/>
    <tableColumn id="14" xr3:uid="{33B0E89D-8B16-4A3F-AC35-633EAD7D976E}" name="法人／事業所数" totalsRowFunction="sum" totalsRowDxfId="484" dataCellStyle="桁区切り" totalsRowCellStyle="桁区切り"/>
    <tableColumn id="15" xr3:uid="{5ED018B7-220C-445E-B868-00F97C408293}" name="法人／構成比" dataDxfId="483"/>
    <tableColumn id="16" xr3:uid="{49D77707-4ABE-445D-9D2C-CF5AF54A522F}" name="法人以外の団体／事業所数" totalsRowFunction="sum" totalsRowDxfId="482" dataCellStyle="桁区切り" totalsRowCellStyle="桁区切り"/>
  </tableColumns>
  <tableStyleInfo name="TableStyleMedium9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3C650CED-4EBF-4EBC-9E7D-2E62DD5602B6}" name="M_TABLE_11233" displayName="M_TABLE_11233" ref="B23:I44" totalsRowShown="0">
  <autoFilter ref="B23:I44" xr:uid="{3C650CED-4EBF-4EBC-9E7D-2E62DD5602B6}"/>
  <tableColumns count="8">
    <tableColumn id="9" xr3:uid="{35FD07F3-9DCD-4A8B-883D-F7CFE7D4C320}" name="産業中分類上位２０"/>
    <tableColumn id="10" xr3:uid="{8F1298DC-9533-41EE-B2A9-F5EB0C9253D1}" name="総数／事業所数" dataCellStyle="桁区切り"/>
    <tableColumn id="11" xr3:uid="{A66E44B6-E351-449B-AAD3-4E22E72A6064}" name="総数／構成比" dataDxfId="481"/>
    <tableColumn id="12" xr3:uid="{E3B8C60A-6DE0-4FFD-9EFA-5EB9A4C154B5}" name="個人／事業所数" dataCellStyle="桁区切り"/>
    <tableColumn id="13" xr3:uid="{374FC7A7-5DBE-45C0-9A58-8101E12E8DE6}" name="個人／構成比" dataDxfId="480"/>
    <tableColumn id="14" xr3:uid="{4438C45F-1535-458B-AC7B-C09C541EBE16}" name="法人／事業所数" dataCellStyle="桁区切り"/>
    <tableColumn id="15" xr3:uid="{F87E78F5-A670-4BAB-9E1D-2E760B028D23}" name="法人／構成比" dataDxfId="479"/>
    <tableColumn id="16" xr3:uid="{049B8978-B967-4FAF-B551-401F4FE2A150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95DBD2B-EF1D-4BDC-940A-524C9C20A8FC}" name="S_TABLE_11102" displayName="S_TABLE_11102" ref="B46:I67" totalsRowShown="0">
  <autoFilter ref="B46:I67" xr:uid="{695DBD2B-EF1D-4BDC-940A-524C9C20A8FC}"/>
  <tableColumns count="8">
    <tableColumn id="9" xr3:uid="{22D1EF8A-8717-438E-BE2C-118ACFAB17DC}" name="産業小分類上位２０"/>
    <tableColumn id="10" xr3:uid="{71220F86-0577-45FC-B70D-700A6DAFB852}" name="総数／事業所数" dataCellStyle="桁区切り"/>
    <tableColumn id="11" xr3:uid="{D1050238-A85F-4956-B70C-186AA0ACFA4E}" name="総数／構成比" dataDxfId="982"/>
    <tableColumn id="12" xr3:uid="{B4E6909D-FFFF-4E15-9E21-602082C14213}" name="個人／事業所数" dataCellStyle="桁区切り"/>
    <tableColumn id="13" xr3:uid="{08EB414D-95EF-4191-8C03-45934D7A685A}" name="個人／構成比" dataDxfId="981"/>
    <tableColumn id="14" xr3:uid="{3A451A00-B225-4BD4-8E77-FF35D0DE3740}" name="法人／事業所数" dataCellStyle="桁区切り"/>
    <tableColumn id="15" xr3:uid="{6D1EFF0A-F12D-4E56-ABAE-3348360C00BA}" name="法人／構成比" dataDxfId="980"/>
    <tableColumn id="16" xr3:uid="{8983A000-EF53-4ACE-83BE-6FD467C0A0A3}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D34B3BE1-78D4-4756-BD84-3B8D05399B2C}" name="S_TABLE_11233" displayName="S_TABLE_11233" ref="B47:I67" totalsRowShown="0">
  <autoFilter ref="B47:I67" xr:uid="{D34B3BE1-78D4-4756-BD84-3B8D05399B2C}"/>
  <tableColumns count="8">
    <tableColumn id="9" xr3:uid="{B45D0FC0-0FE3-48FA-A7FF-F58EEF0111EF}" name="産業小分類上位２０"/>
    <tableColumn id="10" xr3:uid="{2C35EE62-67B1-488B-B14D-9F638B2D1962}" name="総数／事業所数" dataCellStyle="桁区切り"/>
    <tableColumn id="11" xr3:uid="{39FF41A1-E501-4134-9B66-B35510F16A0B}" name="総数／構成比" dataDxfId="478"/>
    <tableColumn id="12" xr3:uid="{8393033E-A7A6-437A-926C-29490C636824}" name="個人／事業所数" dataCellStyle="桁区切り"/>
    <tableColumn id="13" xr3:uid="{8536BA7A-A73E-4B4A-BB86-0CC6435D8C90}" name="個人／構成比" dataDxfId="477"/>
    <tableColumn id="14" xr3:uid="{7CA3A466-D3F2-4742-AC22-81B662E35F72}" name="法人／事業所数" dataCellStyle="桁区切り"/>
    <tableColumn id="15" xr3:uid="{63C26DBE-78F5-4272-8CBE-F5661A7BDEA5}" name="法人／構成比" dataDxfId="476"/>
    <tableColumn id="16" xr3:uid="{B502F659-98FA-4A92-9A2F-44D12E81543B}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1EF157F3-5300-44FD-A084-22734D688B1C}" name="LTBL_11234" displayName="LTBL_11234" ref="B4:I20" totalsRowCount="1">
  <autoFilter ref="B4:I19" xr:uid="{1EF157F3-5300-44FD-A084-22734D688B1C}"/>
  <tableColumns count="8">
    <tableColumn id="9" xr3:uid="{EBC5654F-E19B-4DAB-8AC8-7B6AFF65F3A4}" name="産業大分類" totalsRowLabel="合計" totalsRowDxfId="475"/>
    <tableColumn id="10" xr3:uid="{3A0B8118-476F-433E-A634-BB690EC71924}" name="総数／事業所数" totalsRowFunction="custom" totalsRowDxfId="474" dataCellStyle="桁区切り" totalsRowCellStyle="桁区切り">
      <totalsRowFormula>SUM(LTBL_11234[総数／事業所数])</totalsRowFormula>
    </tableColumn>
    <tableColumn id="11" xr3:uid="{80FA9232-FF57-465B-AB39-A53EB3885E6E}" name="総数／構成比" dataDxfId="473"/>
    <tableColumn id="12" xr3:uid="{7A4AC1F2-7872-41C2-B384-E0A30061A9C8}" name="個人／事業所数" totalsRowFunction="sum" totalsRowDxfId="472" dataCellStyle="桁区切り" totalsRowCellStyle="桁区切り"/>
    <tableColumn id="13" xr3:uid="{7CBAE3C6-831A-46F6-BA3A-A1DF3FCA6371}" name="個人／構成比" dataDxfId="471"/>
    <tableColumn id="14" xr3:uid="{3D33AB3E-83FA-4C3B-A7A2-4A155EDA67B8}" name="法人／事業所数" totalsRowFunction="sum" totalsRowDxfId="470" dataCellStyle="桁区切り" totalsRowCellStyle="桁区切り"/>
    <tableColumn id="15" xr3:uid="{04CDFCBA-A1B0-420A-A443-83D52373E72A}" name="法人／構成比" dataDxfId="469"/>
    <tableColumn id="16" xr3:uid="{18EC1C5B-DB4C-4A64-97BE-DBEB5B401063}" name="法人以外の団体／事業所数" totalsRowFunction="sum" totalsRowDxfId="468" dataCellStyle="桁区切り" totalsRow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ED89680A-F09F-4A87-B86D-1891F8A4FA16}" name="M_TABLE_11234" displayName="M_TABLE_11234" ref="B23:I43" totalsRowShown="0">
  <autoFilter ref="B23:I43" xr:uid="{ED89680A-F09F-4A87-B86D-1891F8A4FA16}"/>
  <tableColumns count="8">
    <tableColumn id="9" xr3:uid="{AB9D627C-80D4-4F6F-B217-0E1B1644EC7D}" name="産業中分類上位２０"/>
    <tableColumn id="10" xr3:uid="{DEDE5822-0DAB-4245-B0D6-A89EBDC26EEA}" name="総数／事業所数" dataCellStyle="桁区切り"/>
    <tableColumn id="11" xr3:uid="{1BAD1EE0-7EF1-4DC1-A4F1-B7A5831797D8}" name="総数／構成比" dataDxfId="467"/>
    <tableColumn id="12" xr3:uid="{4CA4B5AB-51AB-4F0B-A1D2-6EE7475F2D11}" name="個人／事業所数" dataCellStyle="桁区切り"/>
    <tableColumn id="13" xr3:uid="{37FC3C65-54DA-4A49-9DAD-BA3ABF341264}" name="個人／構成比" dataDxfId="466"/>
    <tableColumn id="14" xr3:uid="{9484D566-3D71-46BE-AA7F-F1CE29A3E0EC}" name="法人／事業所数" dataCellStyle="桁区切り"/>
    <tableColumn id="15" xr3:uid="{AE9725AF-045C-49FC-8405-7FC4E5176538}" name="法人／構成比" dataDxfId="465"/>
    <tableColumn id="16" xr3:uid="{493A7A45-A11B-4621-AE3B-EF429F7208FA}" name="法人以外の団体／事業所数" dataCellStyle="桁区切り"/>
  </tableColumns>
  <tableStyleInfo name="TableStyleMedium9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0EE4A43F-AB1D-4AE0-87E5-49FF6EC5F2A3}" name="S_TABLE_11234" displayName="S_TABLE_11234" ref="B46:I67" totalsRowShown="0">
  <autoFilter ref="B46:I67" xr:uid="{0EE4A43F-AB1D-4AE0-87E5-49FF6EC5F2A3}"/>
  <tableColumns count="8">
    <tableColumn id="9" xr3:uid="{7DAEE133-1121-49C8-BB8D-47902007FFAA}" name="産業小分類上位２０"/>
    <tableColumn id="10" xr3:uid="{FEF1FC69-F3FB-473E-92A1-2789639E4C20}" name="総数／事業所数" dataCellStyle="桁区切り"/>
    <tableColumn id="11" xr3:uid="{62CF59B8-9527-433D-BA0E-60B2B8C529CE}" name="総数／構成比" dataDxfId="464"/>
    <tableColumn id="12" xr3:uid="{5E304F13-EC2A-4CC3-9CE5-954634DEBD4C}" name="個人／事業所数" dataCellStyle="桁区切り"/>
    <tableColumn id="13" xr3:uid="{1178289B-1500-4CE7-BB41-38993045C207}" name="個人／構成比" dataDxfId="463"/>
    <tableColumn id="14" xr3:uid="{4CFF63D4-B494-4FEE-AA9D-C017D2C3D020}" name="法人／事業所数" dataCellStyle="桁区切り"/>
    <tableColumn id="15" xr3:uid="{B2E58B22-3F85-4700-88CB-375715751E6B}" name="法人／構成比" dataDxfId="462"/>
    <tableColumn id="16" xr3:uid="{B609E114-B2E5-4B11-BB6D-CBBE24225D34}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02A0596E-9C61-450E-818F-6FFD8F60CF05}" name="LTBL_11235" displayName="LTBL_11235" ref="B4:I20" totalsRowCount="1">
  <autoFilter ref="B4:I19" xr:uid="{02A0596E-9C61-450E-818F-6FFD8F60CF05}"/>
  <tableColumns count="8">
    <tableColumn id="9" xr3:uid="{D4F0C391-0985-421D-81CD-7E14E2D0C6E4}" name="産業大分類" totalsRowLabel="合計" totalsRowDxfId="461"/>
    <tableColumn id="10" xr3:uid="{1344E842-090F-4687-9339-C94C8EBC7FE7}" name="総数／事業所数" totalsRowFunction="custom" totalsRowDxfId="460" dataCellStyle="桁区切り" totalsRowCellStyle="桁区切り">
      <totalsRowFormula>SUM(LTBL_11235[総数／事業所数])</totalsRowFormula>
    </tableColumn>
    <tableColumn id="11" xr3:uid="{B3A7CBD9-C7E1-4B31-B7AD-DAEA8538B6D6}" name="総数／構成比" dataDxfId="459"/>
    <tableColumn id="12" xr3:uid="{389EE94C-6359-4DE2-B354-809A2CFF9AA9}" name="個人／事業所数" totalsRowFunction="sum" totalsRowDxfId="458" dataCellStyle="桁区切り" totalsRowCellStyle="桁区切り"/>
    <tableColumn id="13" xr3:uid="{D32A5D6B-F493-4372-B1DA-6A4006F148A1}" name="個人／構成比" dataDxfId="457"/>
    <tableColumn id="14" xr3:uid="{962A3394-247C-419B-A711-CDC45F1DFDF8}" name="法人／事業所数" totalsRowFunction="sum" totalsRowDxfId="456" dataCellStyle="桁区切り" totalsRowCellStyle="桁区切り"/>
    <tableColumn id="15" xr3:uid="{A745082A-7090-4E1B-8F6C-BF590460DE36}" name="法人／構成比" dataDxfId="455"/>
    <tableColumn id="16" xr3:uid="{0DF0AACB-4057-4EFF-97C2-40098BCF9EC9}" name="法人以外の団体／事業所数" totalsRowFunction="sum" totalsRowDxfId="454" dataCellStyle="桁区切り" totalsRow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B5E04073-3145-4139-8C67-E8A8C486E1F6}" name="M_TABLE_11235" displayName="M_TABLE_11235" ref="B23:I43" totalsRowShown="0">
  <autoFilter ref="B23:I43" xr:uid="{B5E04073-3145-4139-8C67-E8A8C486E1F6}"/>
  <tableColumns count="8">
    <tableColumn id="9" xr3:uid="{1A0C8DCF-1634-46CA-9D52-DE45639F65F7}" name="産業中分類上位２０"/>
    <tableColumn id="10" xr3:uid="{0931D3FA-C2F2-4D76-9FD2-39B4CDAA3E6C}" name="総数／事業所数" dataCellStyle="桁区切り"/>
    <tableColumn id="11" xr3:uid="{D4A78442-196B-4F35-8338-AB39FF9DBBA2}" name="総数／構成比" dataDxfId="453"/>
    <tableColumn id="12" xr3:uid="{1B383F60-0A0C-451C-9524-E4EDFDB3EDA9}" name="個人／事業所数" dataCellStyle="桁区切り"/>
    <tableColumn id="13" xr3:uid="{3D71E19D-30A6-4D22-8BC3-55E2D7698C59}" name="個人／構成比" dataDxfId="452"/>
    <tableColumn id="14" xr3:uid="{AD8F4C0D-61A9-47D5-A94B-868153F425A8}" name="法人／事業所数" dataCellStyle="桁区切り"/>
    <tableColumn id="15" xr3:uid="{03072A95-5FA5-488F-B0BA-5DBBFBD520D2}" name="法人／構成比" dataDxfId="451"/>
    <tableColumn id="16" xr3:uid="{8EA5596E-0032-4735-B710-885ED68E4EE9}" name="法人以外の団体／事業所数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8B9E6FD0-CF28-4643-9FA5-EAEC2B772AE6}" name="S_TABLE_11235" displayName="S_TABLE_11235" ref="B46:I67" totalsRowShown="0">
  <autoFilter ref="B46:I67" xr:uid="{8B9E6FD0-CF28-4643-9FA5-EAEC2B772AE6}"/>
  <tableColumns count="8">
    <tableColumn id="9" xr3:uid="{CB4A7970-A9A5-473A-AB33-5C5567805C0F}" name="産業小分類上位２０"/>
    <tableColumn id="10" xr3:uid="{46FF1433-0B4C-45CC-A3DB-F3B036C064AE}" name="総数／事業所数" dataCellStyle="桁区切り"/>
    <tableColumn id="11" xr3:uid="{C3C547CE-7D80-4648-AD22-217139DC8649}" name="総数／構成比" dataDxfId="450"/>
    <tableColumn id="12" xr3:uid="{7115A40C-4A2E-4CA2-8C76-2ADA9B486E05}" name="個人／事業所数" dataCellStyle="桁区切り"/>
    <tableColumn id="13" xr3:uid="{8FB818EF-45D4-49BD-8B93-FB0B39CD694A}" name="個人／構成比" dataDxfId="449"/>
    <tableColumn id="14" xr3:uid="{C2127EC2-E18A-4A22-A7D0-059382F50AE7}" name="法人／事業所数" dataCellStyle="桁区切り"/>
    <tableColumn id="15" xr3:uid="{8F345D62-651B-4104-B8D3-F1AD46F95CBC}" name="法人／構成比" dataDxfId="448"/>
    <tableColumn id="16" xr3:uid="{49D36B3A-E785-42FD-AF4E-61A2FEF12E6A}" name="法人以外の団体／事業所数" dataCellStyle="桁区切り"/>
  </tableColumns>
  <tableStyleInfo name="TableStyleMedium9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2F82333B-06E3-4571-9507-3362F2DED624}" name="LTBL_11237" displayName="LTBL_11237" ref="B4:I20" totalsRowCount="1">
  <autoFilter ref="B4:I19" xr:uid="{2F82333B-06E3-4571-9507-3362F2DED624}"/>
  <tableColumns count="8">
    <tableColumn id="9" xr3:uid="{5C190E9B-6577-4B01-8879-A6FC67F49371}" name="産業大分類" totalsRowLabel="合計" totalsRowDxfId="447"/>
    <tableColumn id="10" xr3:uid="{F1008292-05D7-4CE5-BEAD-71A9EF18A2B3}" name="総数／事業所数" totalsRowFunction="custom" totalsRowDxfId="446" dataCellStyle="桁区切り" totalsRowCellStyle="桁区切り">
      <totalsRowFormula>SUM(LTBL_11237[総数／事業所数])</totalsRowFormula>
    </tableColumn>
    <tableColumn id="11" xr3:uid="{2302EC0C-3902-4593-A6A2-C66046B68A9E}" name="総数／構成比" dataDxfId="445"/>
    <tableColumn id="12" xr3:uid="{09435CE2-ECC2-4935-9A2B-4748DC0E7987}" name="個人／事業所数" totalsRowFunction="sum" totalsRowDxfId="444" dataCellStyle="桁区切り" totalsRowCellStyle="桁区切り"/>
    <tableColumn id="13" xr3:uid="{F15E3E09-4A44-431D-B822-505BD4ADF55A}" name="個人／構成比" dataDxfId="443"/>
    <tableColumn id="14" xr3:uid="{31876429-0344-4EC5-B554-B30879A5B60E}" name="法人／事業所数" totalsRowFunction="sum" totalsRowDxfId="442" dataCellStyle="桁区切り" totalsRowCellStyle="桁区切り"/>
    <tableColumn id="15" xr3:uid="{C9260649-703F-4E87-BC88-38F73B61217C}" name="法人／構成比" dataDxfId="441"/>
    <tableColumn id="16" xr3:uid="{A1DF8048-8DBE-4956-AB2B-E738858C7066}" name="法人以外の団体／事業所数" totalsRowFunction="sum" totalsRowDxfId="440" dataCellStyle="桁区切り" totalsRow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C37D0C29-1A14-4295-8500-068396F49040}" name="M_TABLE_11237" displayName="M_TABLE_11237" ref="B23:I44" totalsRowShown="0">
  <autoFilter ref="B23:I44" xr:uid="{C37D0C29-1A14-4295-8500-068396F49040}"/>
  <tableColumns count="8">
    <tableColumn id="9" xr3:uid="{B78EF8F9-6A02-40BE-9389-61C1F17E1958}" name="産業中分類上位２０"/>
    <tableColumn id="10" xr3:uid="{A0971706-6D54-4717-A414-5179B4558E9D}" name="総数／事業所数" dataCellStyle="桁区切り"/>
    <tableColumn id="11" xr3:uid="{835B7E68-0E16-4CFC-BF73-8E91ED3AC65D}" name="総数／構成比" dataDxfId="439"/>
    <tableColumn id="12" xr3:uid="{9B9BE458-7972-49DA-A0C5-E7A748C98691}" name="個人／事業所数" dataCellStyle="桁区切り"/>
    <tableColumn id="13" xr3:uid="{8FBF5822-27B8-406B-8DDF-18BA82C8A4C4}" name="個人／構成比" dataDxfId="438"/>
    <tableColumn id="14" xr3:uid="{1D312F91-74D3-49FD-9901-86E3F3700313}" name="法人／事業所数" dataCellStyle="桁区切り"/>
    <tableColumn id="15" xr3:uid="{D3A1EB1C-0A91-4058-BF8A-D90CC55EBCBE}" name="法人／構成比" dataDxfId="437"/>
    <tableColumn id="16" xr3:uid="{89E83981-5EFE-4973-A672-5CCEB4145290}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2B36A6F8-9F21-488A-8F01-1627001C65A8}" name="S_TABLE_11237" displayName="S_TABLE_11237" ref="B47:I67" totalsRowShown="0">
  <autoFilter ref="B47:I67" xr:uid="{2B36A6F8-9F21-488A-8F01-1627001C65A8}"/>
  <tableColumns count="8">
    <tableColumn id="9" xr3:uid="{B4604644-FD4C-48A5-AD47-5EF9259B46D9}" name="産業小分類上位２０"/>
    <tableColumn id="10" xr3:uid="{18E1ED86-779A-4F07-B4BD-08F0AF3DCB01}" name="総数／事業所数" dataCellStyle="桁区切り"/>
    <tableColumn id="11" xr3:uid="{5813771C-B6D9-4DF7-B25F-CCC8146FD626}" name="総数／構成比" dataDxfId="436"/>
    <tableColumn id="12" xr3:uid="{BE5033DC-FDE8-448B-9A92-1B4A38FD238F}" name="個人／事業所数" dataCellStyle="桁区切り"/>
    <tableColumn id="13" xr3:uid="{CF620000-F5F8-4920-900C-F2330412741C}" name="個人／構成比" dataDxfId="435"/>
    <tableColumn id="14" xr3:uid="{DAC85E02-F563-4A0C-B90D-549B98345A84}" name="法人／事業所数" dataCellStyle="桁区切り"/>
    <tableColumn id="15" xr3:uid="{8F20FD72-3C56-4AB4-AF2A-A1A6B4B9D521}" name="法人／構成比" dataDxfId="434"/>
    <tableColumn id="16" xr3:uid="{3F487EF1-89D9-4CD7-8322-62D70A1AE2A5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0115B70-D1EA-491C-9CB2-61C3C65C78D0}" name="LTBL_11103" displayName="LTBL_11103" ref="B4:I20" totalsRowCount="1">
  <autoFilter ref="B4:I19" xr:uid="{10115B70-D1EA-491C-9CB2-61C3C65C78D0}"/>
  <tableColumns count="8">
    <tableColumn id="9" xr3:uid="{535F6A05-F3DB-4034-B94A-0BEC25DD535D}" name="産業大分類" totalsRowLabel="合計" totalsRowDxfId="979"/>
    <tableColumn id="10" xr3:uid="{50A62460-8237-49F8-9621-1DE805B018BF}" name="総数／事業所数" totalsRowFunction="custom" totalsRowDxfId="978" dataCellStyle="桁区切り" totalsRowCellStyle="桁区切り">
      <totalsRowFormula>SUM(LTBL_11103[総数／事業所数])</totalsRowFormula>
    </tableColumn>
    <tableColumn id="11" xr3:uid="{982D7AB5-CDCA-41D7-9103-3E1D89481CFD}" name="総数／構成比" dataDxfId="977"/>
    <tableColumn id="12" xr3:uid="{ADF62D89-5CB8-454D-85B9-C54E8603219E}" name="個人／事業所数" totalsRowFunction="sum" totalsRowDxfId="976" dataCellStyle="桁区切り" totalsRowCellStyle="桁区切り"/>
    <tableColumn id="13" xr3:uid="{C9692ED8-FB98-48F3-868C-D3D5B1250727}" name="個人／構成比" dataDxfId="975"/>
    <tableColumn id="14" xr3:uid="{727AD128-D08B-427C-A75D-5BFFE9FB9332}" name="法人／事業所数" totalsRowFunction="sum" totalsRowDxfId="974" dataCellStyle="桁区切り" totalsRowCellStyle="桁区切り"/>
    <tableColumn id="15" xr3:uid="{46B5F126-6017-4747-AD5D-3E6FFE81AE79}" name="法人／構成比" dataDxfId="973"/>
    <tableColumn id="16" xr3:uid="{304252D1-D902-4A7C-AA5F-96C8D520B407}" name="法人以外の団体／事業所数" totalsRowFunction="sum" totalsRowDxfId="972" dataCellStyle="桁区切り" totalsRow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E678504D-66A7-464E-AF46-8B218611DB9C}" name="LTBL_11238" displayName="LTBL_11238" ref="B4:I20" totalsRowCount="1">
  <autoFilter ref="B4:I19" xr:uid="{E678504D-66A7-464E-AF46-8B218611DB9C}"/>
  <tableColumns count="8">
    <tableColumn id="9" xr3:uid="{B2D92989-8C0F-4B5F-80DA-4D36B2D90E91}" name="産業大分類" totalsRowLabel="合計" totalsRowDxfId="433"/>
    <tableColumn id="10" xr3:uid="{FE3FBE89-6640-4834-B335-456FCCD5B70C}" name="総数／事業所数" totalsRowFunction="custom" totalsRowDxfId="432" dataCellStyle="桁区切り" totalsRowCellStyle="桁区切り">
      <totalsRowFormula>SUM(LTBL_11238[総数／事業所数])</totalsRowFormula>
    </tableColumn>
    <tableColumn id="11" xr3:uid="{6C6C0D2C-C4BD-4D9A-B93F-C3385CFA6F88}" name="総数／構成比" dataDxfId="431"/>
    <tableColumn id="12" xr3:uid="{3D3FF1DB-EAAE-43EB-8A11-F220877090FE}" name="個人／事業所数" totalsRowFunction="sum" totalsRowDxfId="430" dataCellStyle="桁区切り" totalsRowCellStyle="桁区切り"/>
    <tableColumn id="13" xr3:uid="{80A1A9EF-CF0F-40CE-8137-B6ABEA65B443}" name="個人／構成比" dataDxfId="429"/>
    <tableColumn id="14" xr3:uid="{4806E75F-E2DC-4D76-8179-A3934EA180E2}" name="法人／事業所数" totalsRowFunction="sum" totalsRowDxfId="428" dataCellStyle="桁区切り" totalsRowCellStyle="桁区切り"/>
    <tableColumn id="15" xr3:uid="{8AACC56B-B3F7-46D7-AD08-0EA8659A63AA}" name="法人／構成比" dataDxfId="427"/>
    <tableColumn id="16" xr3:uid="{74E7D775-06A4-455D-9CC6-EA19B6C34D20}" name="法人以外の団体／事業所数" totalsRowFunction="sum" totalsRowDxfId="426" dataCellStyle="桁区切り" totalsRowCellStyle="桁区切り"/>
  </tableColumns>
  <tableStyleInfo name="TableStyleMedium9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F7A800A8-7376-4235-BE85-48374EC1BFDA}" name="M_TABLE_11238" displayName="M_TABLE_11238" ref="B23:I44" totalsRowShown="0">
  <autoFilter ref="B23:I44" xr:uid="{F7A800A8-7376-4235-BE85-48374EC1BFDA}"/>
  <tableColumns count="8">
    <tableColumn id="9" xr3:uid="{9935FAAC-434C-4809-B239-A5A5DB3F6C1B}" name="産業中分類上位２０"/>
    <tableColumn id="10" xr3:uid="{5D4F41CF-896A-40FF-B8C1-3D78CC140D1E}" name="総数／事業所数" dataCellStyle="桁区切り"/>
    <tableColumn id="11" xr3:uid="{CA51FA34-ED4B-4425-82D2-3BBAC2B4771B}" name="総数／構成比" dataDxfId="425"/>
    <tableColumn id="12" xr3:uid="{18817685-CCF8-40F7-8956-4BD261AB66E1}" name="個人／事業所数" dataCellStyle="桁区切り"/>
    <tableColumn id="13" xr3:uid="{61EC3DEA-3A68-48B0-BC87-612F422710F8}" name="個人／構成比" dataDxfId="424"/>
    <tableColumn id="14" xr3:uid="{A07BA5AF-4616-4F28-91D4-309AB905D7F7}" name="法人／事業所数" dataCellStyle="桁区切り"/>
    <tableColumn id="15" xr3:uid="{14118C34-BC71-4DB3-AF32-A6573307C30A}" name="法人／構成比" dataDxfId="423"/>
    <tableColumn id="16" xr3:uid="{5F033E78-ABED-4D61-BD05-4DE1225627EB}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DB30FE83-A9C6-4493-9C53-DE0DA31E86EC}" name="S_TABLE_11238" displayName="S_TABLE_11238" ref="B47:I70" totalsRowShown="0">
  <autoFilter ref="B47:I70" xr:uid="{DB30FE83-A9C6-4493-9C53-DE0DA31E86EC}"/>
  <tableColumns count="8">
    <tableColumn id="9" xr3:uid="{5515887F-DB88-4C50-964D-0B6CB1F064C3}" name="産業小分類上位２０"/>
    <tableColumn id="10" xr3:uid="{A5A4589C-1CD9-4DE6-B641-52687B3F7743}" name="総数／事業所数" dataCellStyle="桁区切り"/>
    <tableColumn id="11" xr3:uid="{3D519B14-3B40-43DF-844B-CA6AF18DF46F}" name="総数／構成比" dataDxfId="422"/>
    <tableColumn id="12" xr3:uid="{D42BBF61-CBAC-476D-9610-FC74202F79DE}" name="個人／事業所数" dataCellStyle="桁区切り"/>
    <tableColumn id="13" xr3:uid="{F2861BB8-5611-4E4B-92B3-3B96DCE9034C}" name="個人／構成比" dataDxfId="421"/>
    <tableColumn id="14" xr3:uid="{14582CD4-4E3D-4EF4-8B8D-3AD197740611}" name="法人／事業所数" dataCellStyle="桁区切り"/>
    <tableColumn id="15" xr3:uid="{E61D141C-A73E-4D30-A59E-D50015789A5D}" name="法人／構成比" dataDxfId="420"/>
    <tableColumn id="16" xr3:uid="{2C0E7A3F-4A45-4F1A-B3AD-BD56B70529BF}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4418EC83-B742-4AB3-AA4C-190EA8E9B195}" name="LTBL_11239" displayName="LTBL_11239" ref="B4:I20" totalsRowCount="1">
  <autoFilter ref="B4:I19" xr:uid="{4418EC83-B742-4AB3-AA4C-190EA8E9B195}"/>
  <tableColumns count="8">
    <tableColumn id="9" xr3:uid="{C753691B-ED11-4B00-9C13-F6239C9C56B6}" name="産業大分類" totalsRowLabel="合計" totalsRowDxfId="419"/>
    <tableColumn id="10" xr3:uid="{25904212-AB18-46F3-A200-A41A28D8B75B}" name="総数／事業所数" totalsRowFunction="custom" totalsRowDxfId="418" dataCellStyle="桁区切り" totalsRowCellStyle="桁区切り">
      <totalsRowFormula>SUM(LTBL_11239[総数／事業所数])</totalsRowFormula>
    </tableColumn>
    <tableColumn id="11" xr3:uid="{8FDD6BCB-2C17-450F-9DD8-D0A7C6017467}" name="総数／構成比" dataDxfId="417"/>
    <tableColumn id="12" xr3:uid="{FE81328D-A234-45D3-A583-25D93BF957F2}" name="個人／事業所数" totalsRowFunction="sum" totalsRowDxfId="416" dataCellStyle="桁区切り" totalsRowCellStyle="桁区切り"/>
    <tableColumn id="13" xr3:uid="{43E74F6A-B546-4C69-949D-1D672F9A586D}" name="個人／構成比" dataDxfId="415"/>
    <tableColumn id="14" xr3:uid="{D2554BA6-804C-483F-BE90-9FFC7645A067}" name="法人／事業所数" totalsRowFunction="sum" totalsRowDxfId="414" dataCellStyle="桁区切り" totalsRowCellStyle="桁区切り"/>
    <tableColumn id="15" xr3:uid="{78BD02B3-4691-46C7-B898-3BBBC12E23C6}" name="法人／構成比" dataDxfId="413"/>
    <tableColumn id="16" xr3:uid="{10FC2069-1E67-41C3-AABB-C8674BDB60ED}" name="法人以外の団体／事業所数" totalsRowFunction="sum" totalsRowDxfId="412" dataCellStyle="桁区切り" totalsRow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C88B7230-4587-4A09-BFBB-164AB270E482}" name="M_TABLE_11239" displayName="M_TABLE_11239" ref="B23:I45" totalsRowShown="0">
  <autoFilter ref="B23:I45" xr:uid="{C88B7230-4587-4A09-BFBB-164AB270E482}"/>
  <tableColumns count="8">
    <tableColumn id="9" xr3:uid="{A4DE0833-1D7F-4D99-AB78-098B3D646A2D}" name="産業中分類上位２０"/>
    <tableColumn id="10" xr3:uid="{1C4720ED-096B-49FA-94CB-8850A349E95C}" name="総数／事業所数" dataCellStyle="桁区切り"/>
    <tableColumn id="11" xr3:uid="{AA9ED2F4-9795-403D-9B00-391F8B0DEABA}" name="総数／構成比" dataDxfId="411"/>
    <tableColumn id="12" xr3:uid="{E1623C36-1653-4B7E-93B1-14C987FC43E8}" name="個人／事業所数" dataCellStyle="桁区切り"/>
    <tableColumn id="13" xr3:uid="{62E5988A-0DCA-4BF5-BF3C-15F911DB4734}" name="個人／構成比" dataDxfId="410"/>
    <tableColumn id="14" xr3:uid="{C9BA3E55-1DF7-49E5-9898-FB35E0E31D45}" name="法人／事業所数" dataCellStyle="桁区切り"/>
    <tableColumn id="15" xr3:uid="{B4616C48-0F38-4840-ACED-4432438713CA}" name="法人／構成比" dataDxfId="409"/>
    <tableColumn id="16" xr3:uid="{9A1D3A5B-10B4-4EB5-A18F-003F29FE0EC2}" name="法人以外の団体／事業所数" dataCellStyle="桁区切り"/>
  </tableColumns>
  <tableStyleInfo name="TableStyleMedium9" showFirstColumn="0" showLastColumn="0" showRowStripes="1" showColumnStripes="0"/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CA97AC09-E35A-42D3-A08E-DC792DF82100}" name="S_TABLE_11239" displayName="S_TABLE_11239" ref="B48:I70" totalsRowShown="0">
  <autoFilter ref="B48:I70" xr:uid="{CA97AC09-E35A-42D3-A08E-DC792DF82100}"/>
  <tableColumns count="8">
    <tableColumn id="9" xr3:uid="{E5AFFC8B-3E25-45CE-B998-1B6218E02C57}" name="産業小分類上位２０"/>
    <tableColumn id="10" xr3:uid="{99225641-8578-48D4-829D-E39B201C4A88}" name="総数／事業所数" dataCellStyle="桁区切り"/>
    <tableColumn id="11" xr3:uid="{7BEA9943-CA39-4F11-A16F-58A8626C5B7F}" name="総数／構成比" dataDxfId="408"/>
    <tableColumn id="12" xr3:uid="{5291517B-74BB-4A60-BA30-FA726593384F}" name="個人／事業所数" dataCellStyle="桁区切り"/>
    <tableColumn id="13" xr3:uid="{CA0EC862-F5B4-4AB2-9621-AAA0CB00016E}" name="個人／構成比" dataDxfId="407"/>
    <tableColumn id="14" xr3:uid="{C5971B91-42A3-49F3-AFDB-756B613A3885}" name="法人／事業所数" dataCellStyle="桁区切り"/>
    <tableColumn id="15" xr3:uid="{3E8B57A4-6C4D-4637-890D-17369B5BE9BE}" name="法人／構成比" dataDxfId="406"/>
    <tableColumn id="16" xr3:uid="{B11B683D-50A4-4F48-95A7-880783E34CE6}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A271453E-E11E-42EA-9009-2D8437C84455}" name="LTBL_11240" displayName="LTBL_11240" ref="B4:I20" totalsRowCount="1">
  <autoFilter ref="B4:I19" xr:uid="{A271453E-E11E-42EA-9009-2D8437C84455}"/>
  <tableColumns count="8">
    <tableColumn id="9" xr3:uid="{1228FB18-BCFA-41FC-9C43-32EE50B5171F}" name="産業大分類" totalsRowLabel="合計" totalsRowDxfId="405"/>
    <tableColumn id="10" xr3:uid="{6F36B8BD-89BA-4BA8-829B-AB62B9EEF418}" name="総数／事業所数" totalsRowFunction="custom" totalsRowDxfId="404" dataCellStyle="桁区切り" totalsRowCellStyle="桁区切り">
      <totalsRowFormula>SUM(LTBL_11240[総数／事業所数])</totalsRowFormula>
    </tableColumn>
    <tableColumn id="11" xr3:uid="{ED84FA36-21E7-4F13-B10D-C987B961EA16}" name="総数／構成比" dataDxfId="403"/>
    <tableColumn id="12" xr3:uid="{7221A59E-297F-4626-AC94-7711ED026444}" name="個人／事業所数" totalsRowFunction="sum" totalsRowDxfId="402" dataCellStyle="桁区切り" totalsRowCellStyle="桁区切り"/>
    <tableColumn id="13" xr3:uid="{46925BB5-ECCB-46AE-BB29-E7F9219FB3EE}" name="個人／構成比" dataDxfId="401"/>
    <tableColumn id="14" xr3:uid="{E2AC0CED-4FB4-4FCC-8CBB-83BC094CFF40}" name="法人／事業所数" totalsRowFunction="sum" totalsRowDxfId="400" dataCellStyle="桁区切り" totalsRowCellStyle="桁区切り"/>
    <tableColumn id="15" xr3:uid="{5BA96410-D96F-4048-B67C-2F6FB438FE0D}" name="法人／構成比" dataDxfId="399"/>
    <tableColumn id="16" xr3:uid="{569C5210-FFDD-4395-962E-0347C15B2975}" name="法人以外の団体／事業所数" totalsRowFunction="sum" totalsRowDxfId="398" dataCellStyle="桁区切り" totalsRowCellStyle="桁区切り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302CD1EC-A5D5-4DF7-AC94-97EE7C087388}" name="M_TABLE_11240" displayName="M_TABLE_11240" ref="B23:I43" totalsRowShown="0">
  <autoFilter ref="B23:I43" xr:uid="{302CD1EC-A5D5-4DF7-AC94-97EE7C087388}"/>
  <tableColumns count="8">
    <tableColumn id="9" xr3:uid="{34B3808D-F30B-4C0A-973F-490955DA72C3}" name="産業中分類上位２０"/>
    <tableColumn id="10" xr3:uid="{9CFB9A95-18EC-4952-9938-1AB058038F8F}" name="総数／事業所数" dataCellStyle="桁区切り"/>
    <tableColumn id="11" xr3:uid="{EE3BBC56-E8B3-4092-AD45-99ADE1DAE294}" name="総数／構成比" dataDxfId="397"/>
    <tableColumn id="12" xr3:uid="{BA47DC6E-D33E-44E9-A8D9-A22EDA8D1C88}" name="個人／事業所数" dataCellStyle="桁区切り"/>
    <tableColumn id="13" xr3:uid="{75DC2697-79A5-4AE7-9269-0B43C8E95889}" name="個人／構成比" dataDxfId="396"/>
    <tableColumn id="14" xr3:uid="{F454C609-CE34-4BDB-8E6F-3521E2FAB9B2}" name="法人／事業所数" dataCellStyle="桁区切り"/>
    <tableColumn id="15" xr3:uid="{4FC7DBBE-B623-4E13-9F33-A61827B85B82}" name="法人／構成比" dataDxfId="395"/>
    <tableColumn id="16" xr3:uid="{1C852F3A-0D9F-42CC-8BD1-8E74ECF7D5CD}" name="法人以外の団体／事業所数" dataCellStyle="桁区切り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1F05091F-997B-4EFF-963C-4CA3AD88ADFA}" name="S_TABLE_11240" displayName="S_TABLE_11240" ref="B46:I66" totalsRowShown="0">
  <autoFilter ref="B46:I66" xr:uid="{1F05091F-997B-4EFF-963C-4CA3AD88ADFA}"/>
  <tableColumns count="8">
    <tableColumn id="9" xr3:uid="{CC98AD47-6F10-438A-8EC1-29EB52E9CCEE}" name="産業小分類上位２０"/>
    <tableColumn id="10" xr3:uid="{2252558E-F193-48A7-AB96-B8982D202DF5}" name="総数／事業所数" dataCellStyle="桁区切り"/>
    <tableColumn id="11" xr3:uid="{10852C58-525F-45FA-BE13-37C27A6E2D23}" name="総数／構成比" dataDxfId="394"/>
    <tableColumn id="12" xr3:uid="{FD050E53-5CAB-4EA6-B812-3E7DD4344CFC}" name="個人／事業所数" dataCellStyle="桁区切り"/>
    <tableColumn id="13" xr3:uid="{F4148CE0-343F-4E70-AF2E-F9C86DB2DF91}" name="個人／構成比" dataDxfId="393"/>
    <tableColumn id="14" xr3:uid="{A1A621F7-1FBE-4D6C-808A-70E3FAE1A506}" name="法人／事業所数" dataCellStyle="桁区切り"/>
    <tableColumn id="15" xr3:uid="{030B314E-7873-4733-B53F-1DAE3D6616B2}" name="法人／構成比" dataDxfId="392"/>
    <tableColumn id="16" xr3:uid="{C618128A-B1D4-443A-85C8-2F53FEEB690B}" name="法人以外の団体／事業所数" dataCellStyle="桁区切り"/>
  </tableColumns>
  <tableStyleInfo name="TableStyleMedium9" showFirstColumn="0" showLastColumn="0" showRowStripes="1" showColumnStripes="0"/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677765C4-4970-481F-9868-F316C7F79432}" name="LTBL_11241" displayName="LTBL_11241" ref="B4:I20" totalsRowCount="1">
  <autoFilter ref="B4:I19" xr:uid="{677765C4-4970-481F-9868-F316C7F79432}"/>
  <tableColumns count="8">
    <tableColumn id="9" xr3:uid="{588F4F01-C7EC-40FF-B805-A0F71553CFA8}" name="産業大分類" totalsRowLabel="合計" totalsRowDxfId="391"/>
    <tableColumn id="10" xr3:uid="{7FD57FBF-AD6D-4AE8-985E-F10D2D233F93}" name="総数／事業所数" totalsRowFunction="custom" totalsRowDxfId="390" dataCellStyle="桁区切り" totalsRowCellStyle="桁区切り">
      <totalsRowFormula>SUM(LTBL_11241[総数／事業所数])</totalsRowFormula>
    </tableColumn>
    <tableColumn id="11" xr3:uid="{74B7B328-7485-4509-BE99-CB86CC362CE0}" name="総数／構成比" dataDxfId="389"/>
    <tableColumn id="12" xr3:uid="{48A3CCC3-6B90-4629-9DE2-2A70A7891254}" name="個人／事業所数" totalsRowFunction="sum" totalsRowDxfId="388" dataCellStyle="桁区切り" totalsRowCellStyle="桁区切り"/>
    <tableColumn id="13" xr3:uid="{845DD82D-928A-4C76-91F0-5E6524538AB1}" name="個人／構成比" dataDxfId="387"/>
    <tableColumn id="14" xr3:uid="{15317A3C-D482-4FA5-B95E-98DF2A0FB575}" name="法人／事業所数" totalsRowFunction="sum" totalsRowDxfId="386" dataCellStyle="桁区切り" totalsRowCellStyle="桁区切り"/>
    <tableColumn id="15" xr3:uid="{324AE22C-D5EB-4C76-BD80-712F93FBF3B2}" name="法人／構成比" dataDxfId="385"/>
    <tableColumn id="16" xr3:uid="{791377EA-F9A9-403C-BA06-F69E053A7EBD}" name="法人以外の団体／事業所数" totalsRowFunction="sum" totalsRowDxfId="384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71602A2-2C51-49BF-ADC8-C051C981A04E}" name="M_TABLE_11103" displayName="M_TABLE_11103" ref="B23:I43" totalsRowShown="0">
  <autoFilter ref="B23:I43" xr:uid="{A71602A2-2C51-49BF-ADC8-C051C981A04E}"/>
  <tableColumns count="8">
    <tableColumn id="9" xr3:uid="{234C91A5-AD30-4C5D-A55E-6920C8A5B617}" name="産業中分類上位２０"/>
    <tableColumn id="10" xr3:uid="{B51037DD-0851-4FC8-AB70-4F0B1869C54F}" name="総数／事業所数" dataCellStyle="桁区切り"/>
    <tableColumn id="11" xr3:uid="{7CE5BDBA-0D94-4E2F-825D-B0D58FF12054}" name="総数／構成比" dataDxfId="971"/>
    <tableColumn id="12" xr3:uid="{45F25B88-4D24-437C-8C39-EFA7FC53F887}" name="個人／事業所数" dataCellStyle="桁区切り"/>
    <tableColumn id="13" xr3:uid="{9E011747-6ABB-46B0-B655-6E6119B089E5}" name="個人／構成比" dataDxfId="970"/>
    <tableColumn id="14" xr3:uid="{D5EB3278-3B0D-41C2-932B-073FA23FCDC6}" name="法人／事業所数" dataCellStyle="桁区切り"/>
    <tableColumn id="15" xr3:uid="{6A331273-6865-40CD-99B0-34C389EAA854}" name="法人／構成比" dataDxfId="969"/>
    <tableColumn id="16" xr3:uid="{7ECF2C7A-DD9A-48F0-9D8F-FBCA429CD288}" name="法人以外の団体／事業所数" dataCellStyle="桁区切り"/>
  </tableColumns>
  <tableStyleInfo name="TableStyleMedium9" showFirstColumn="0" showLastColumn="0" showRowStripes="1" showColumnStripes="0"/>
</table>
</file>

<file path=xl/tables/table1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448E446A-90B9-495C-BE1F-8BF05CDC34C5}" name="M_TABLE_11241" displayName="M_TABLE_11241" ref="B23:I44" totalsRowShown="0">
  <autoFilter ref="B23:I44" xr:uid="{448E446A-90B9-495C-BE1F-8BF05CDC34C5}"/>
  <tableColumns count="8">
    <tableColumn id="9" xr3:uid="{41AA8EDF-49FF-44AA-A9B8-4F183B997BD8}" name="産業中分類上位２０"/>
    <tableColumn id="10" xr3:uid="{00ED9509-520E-4C8D-8752-7A3992BA859D}" name="総数／事業所数" dataCellStyle="桁区切り"/>
    <tableColumn id="11" xr3:uid="{259E35B0-8F3D-426B-916F-649ACDAE5B73}" name="総数／構成比" dataDxfId="383"/>
    <tableColumn id="12" xr3:uid="{D7946925-E5EA-4FA3-BDA5-3B76BC4AB72A}" name="個人／事業所数" dataCellStyle="桁区切り"/>
    <tableColumn id="13" xr3:uid="{9740AA6C-6C18-4C5D-BE8D-AE6EBFC2C751}" name="個人／構成比" dataDxfId="382"/>
    <tableColumn id="14" xr3:uid="{1D8D0AF8-AEA4-40FD-812E-BC176E5D0BFF}" name="法人／事業所数" dataCellStyle="桁区切り"/>
    <tableColumn id="15" xr3:uid="{3D6769B1-24DB-48A8-B5BE-C9B9097819B0}" name="法人／構成比" dataDxfId="381"/>
    <tableColumn id="16" xr3:uid="{3ED0D2FB-CB17-4309-B13D-71E22B8C7479}" name="法人以外の団体／事業所数" dataCellStyle="桁区切り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70533BB2-0469-49AB-A887-FBC1A75AC516}" name="S_TABLE_11241" displayName="S_TABLE_11241" ref="B47:I68" totalsRowShown="0">
  <autoFilter ref="B47:I68" xr:uid="{70533BB2-0469-49AB-A887-FBC1A75AC516}"/>
  <tableColumns count="8">
    <tableColumn id="9" xr3:uid="{EF9937E9-FC49-471E-844F-B889F7747177}" name="産業小分類上位２０"/>
    <tableColumn id="10" xr3:uid="{DD52FEBC-5914-4D18-85B2-E1522C425A07}" name="総数／事業所数" dataCellStyle="桁区切り"/>
    <tableColumn id="11" xr3:uid="{49C64AAB-7AEC-443D-A0C5-B5EF2270FEF9}" name="総数／構成比" dataDxfId="380"/>
    <tableColumn id="12" xr3:uid="{3F514758-E373-43CF-A9BF-3435981CBE2F}" name="個人／事業所数" dataCellStyle="桁区切り"/>
    <tableColumn id="13" xr3:uid="{0C705C96-FB58-4558-B6AE-162608B18AD0}" name="個人／構成比" dataDxfId="379"/>
    <tableColumn id="14" xr3:uid="{F5DE8CEF-F932-433D-ABBE-DF6FA3F4ADCA}" name="法人／事業所数" dataCellStyle="桁区切り"/>
    <tableColumn id="15" xr3:uid="{E0519C07-8C41-4F40-B7D5-CE92A226B85C}" name="法人／構成比" dataDxfId="378"/>
    <tableColumn id="16" xr3:uid="{F5906960-E031-4835-AED9-4DD6E8F85F1B}" name="法人以外の団体／事業所数" dataCellStyle="桁区切り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C0F02084-6EA1-4C1E-AC04-47E82C5F1D5E}" name="LTBL_11242" displayName="LTBL_11242" ref="B4:I20" totalsRowCount="1">
  <autoFilter ref="B4:I19" xr:uid="{C0F02084-6EA1-4C1E-AC04-47E82C5F1D5E}"/>
  <tableColumns count="8">
    <tableColumn id="9" xr3:uid="{7315F208-FB81-4433-9332-9FA730F82EA4}" name="産業大分類" totalsRowLabel="合計" totalsRowDxfId="377"/>
    <tableColumn id="10" xr3:uid="{F8C23773-952A-44E2-B4FC-75C799B52B6E}" name="総数／事業所数" totalsRowFunction="custom" totalsRowDxfId="376" dataCellStyle="桁区切り" totalsRowCellStyle="桁区切り">
      <totalsRowFormula>SUM(LTBL_11242[総数／事業所数])</totalsRowFormula>
    </tableColumn>
    <tableColumn id="11" xr3:uid="{A0A424A9-ED53-4877-B72D-FCF8715CFFC8}" name="総数／構成比" dataDxfId="375"/>
    <tableColumn id="12" xr3:uid="{0861E1E4-4845-42B1-8E31-1CC8727F7840}" name="個人／事業所数" totalsRowFunction="sum" totalsRowDxfId="374" dataCellStyle="桁区切り" totalsRowCellStyle="桁区切り"/>
    <tableColumn id="13" xr3:uid="{61084F48-C049-4FEE-ADAC-F2CE51093842}" name="個人／構成比" dataDxfId="373"/>
    <tableColumn id="14" xr3:uid="{7C8D8EE4-4A11-4A02-9E32-5A0FF5758683}" name="法人／事業所数" totalsRowFunction="sum" totalsRowDxfId="372" dataCellStyle="桁区切り" totalsRowCellStyle="桁区切り"/>
    <tableColumn id="15" xr3:uid="{14B78BED-6397-4D1A-89A9-EEA677332523}" name="法人／構成比" dataDxfId="371"/>
    <tableColumn id="16" xr3:uid="{015C5187-4C51-4414-8AA2-4AB81E90CEB3}" name="法人以外の団体／事業所数" totalsRowFunction="sum" totalsRowDxfId="370" dataCellStyle="桁区切り" totalsRowCellStyle="桁区切り"/>
  </tableColumns>
  <tableStyleInfo name="TableStyleMedium9" showFirstColumn="0" showLastColumn="0" showRowStripes="1" showColumnStripes="0"/>
</table>
</file>

<file path=xl/tables/table1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7831F036-F569-428F-8C3A-210B3519E1CF}" name="M_TABLE_11242" displayName="M_TABLE_11242" ref="B23:I46" totalsRowShown="0">
  <autoFilter ref="B23:I46" xr:uid="{7831F036-F569-428F-8C3A-210B3519E1CF}"/>
  <tableColumns count="8">
    <tableColumn id="9" xr3:uid="{BB4863A5-204A-4ED7-8995-D3FAF86A0748}" name="産業中分類上位２０"/>
    <tableColumn id="10" xr3:uid="{17AA56BE-1007-4FF8-BC61-881CC3CB50E3}" name="総数／事業所数" dataCellStyle="桁区切り"/>
    <tableColumn id="11" xr3:uid="{87D9FF34-7E6D-44DC-A80E-8DA34B097F7B}" name="総数／構成比" dataDxfId="369"/>
    <tableColumn id="12" xr3:uid="{3B775007-C3F2-4694-87AD-541F33B8E50C}" name="個人／事業所数" dataCellStyle="桁区切り"/>
    <tableColumn id="13" xr3:uid="{9794C4E0-7BE5-4154-B182-F195CF3DA572}" name="個人／構成比" dataDxfId="368"/>
    <tableColumn id="14" xr3:uid="{5FDBDF38-D993-4637-8F60-EC88AF1A3F89}" name="法人／事業所数" dataCellStyle="桁区切り"/>
    <tableColumn id="15" xr3:uid="{55EBCC0C-A3A2-4715-A5B5-F7373CB61A73}" name="法人／構成比" dataDxfId="367"/>
    <tableColumn id="16" xr3:uid="{549C37A6-198C-4B93-BCD9-5606AFC8EA0D}" name="法人以外の団体／事業所数" dataCellStyle="桁区切り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4690D0DC-C0CF-4D8E-BEDB-575B9A0F3A3F}" name="S_TABLE_11242" displayName="S_TABLE_11242" ref="B49:I72" totalsRowShown="0">
  <autoFilter ref="B49:I72" xr:uid="{4690D0DC-C0CF-4D8E-BEDB-575B9A0F3A3F}"/>
  <tableColumns count="8">
    <tableColumn id="9" xr3:uid="{4297F3C9-28FE-4A2B-8CF5-6C5FCBF354C9}" name="産業小分類上位２０"/>
    <tableColumn id="10" xr3:uid="{33BC6706-AC46-437F-9F52-929935BAB54E}" name="総数／事業所数" dataCellStyle="桁区切り"/>
    <tableColumn id="11" xr3:uid="{BB19461A-4E0E-4854-B52E-F00A6CE266A4}" name="総数／構成比" dataDxfId="366"/>
    <tableColumn id="12" xr3:uid="{1D0102FB-EB42-4BC3-8D6A-6F40E15053C2}" name="個人／事業所数" dataCellStyle="桁区切り"/>
    <tableColumn id="13" xr3:uid="{76142A92-9C02-4ED5-928F-1E4788A3C6C8}" name="個人／構成比" dataDxfId="365"/>
    <tableColumn id="14" xr3:uid="{0582E829-A4D7-4594-B3C8-96A65624EFCA}" name="法人／事業所数" dataCellStyle="桁区切り"/>
    <tableColumn id="15" xr3:uid="{52683316-5BFF-4CCB-A9BA-B9EA1C1F5A09}" name="法人／構成比" dataDxfId="364"/>
    <tableColumn id="16" xr3:uid="{B573714F-8D74-411F-B508-5BFE5460C21D}" name="法人以外の団体／事業所数" dataCellStyle="桁区切り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677B71D6-A469-46AC-8DA8-7F5CABFB50F2}" name="LTBL_11243" displayName="LTBL_11243" ref="B4:I20" totalsRowCount="1">
  <autoFilter ref="B4:I19" xr:uid="{677B71D6-A469-46AC-8DA8-7F5CABFB50F2}"/>
  <tableColumns count="8">
    <tableColumn id="9" xr3:uid="{2DDAB3FD-2E6B-44F9-9137-42ACE9E3CF7B}" name="産業大分類" totalsRowLabel="合計" totalsRowDxfId="363"/>
    <tableColumn id="10" xr3:uid="{ECB0EAAE-4B83-4385-B86E-0598CEE08EEB}" name="総数／事業所数" totalsRowFunction="custom" totalsRowDxfId="362" dataCellStyle="桁区切り" totalsRowCellStyle="桁区切り">
      <totalsRowFormula>SUM(LTBL_11243[総数／事業所数])</totalsRowFormula>
    </tableColumn>
    <tableColumn id="11" xr3:uid="{F21EFD3A-7839-4D1A-AD91-87F9ADE8D303}" name="総数／構成比" dataDxfId="361"/>
    <tableColumn id="12" xr3:uid="{7DAD16DE-FC47-4007-AAF2-63EA4D04ABE3}" name="個人／事業所数" totalsRowFunction="sum" totalsRowDxfId="360" dataCellStyle="桁区切り" totalsRowCellStyle="桁区切り"/>
    <tableColumn id="13" xr3:uid="{0B96AEF9-4D70-4E3B-9CCB-42D12163892E}" name="個人／構成比" dataDxfId="359"/>
    <tableColumn id="14" xr3:uid="{554D48D8-71FA-4AE7-A83E-E1710402D2D7}" name="法人／事業所数" totalsRowFunction="sum" totalsRowDxfId="358" dataCellStyle="桁区切り" totalsRowCellStyle="桁区切り"/>
    <tableColumn id="15" xr3:uid="{A1AB8412-4F9E-4144-94A8-7A4E2F794585}" name="法人／構成比" dataDxfId="357"/>
    <tableColumn id="16" xr3:uid="{398570E2-CAF6-4ED3-BE9F-ACC017E13337}" name="法人以外の団体／事業所数" totalsRowFunction="sum" totalsRowDxfId="356" dataCellStyle="桁区切り" totalsRowCellStyle="桁区切り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6D043491-B129-49AB-B3BF-1D3AB58A0420}" name="M_TABLE_11243" displayName="M_TABLE_11243" ref="B23:I43" totalsRowShown="0">
  <autoFilter ref="B23:I43" xr:uid="{6D043491-B129-49AB-B3BF-1D3AB58A0420}"/>
  <tableColumns count="8">
    <tableColumn id="9" xr3:uid="{BBCDD17C-B943-4A5B-BBBA-737908C5AF9B}" name="産業中分類上位２０"/>
    <tableColumn id="10" xr3:uid="{1F47595B-04AA-4F68-8C84-4898B14114D0}" name="総数／事業所数" dataCellStyle="桁区切り"/>
    <tableColumn id="11" xr3:uid="{D52C103B-FBAA-44B8-AB90-D279EFD0DC2B}" name="総数／構成比" dataDxfId="355"/>
    <tableColumn id="12" xr3:uid="{8C2DA637-AA3C-4428-B933-F1E88ED84A88}" name="個人／事業所数" dataCellStyle="桁区切り"/>
    <tableColumn id="13" xr3:uid="{67AC78CB-AB7B-47EB-90D4-734FE735FE9A}" name="個人／構成比" dataDxfId="354"/>
    <tableColumn id="14" xr3:uid="{6D86A865-F8A1-44C6-82D6-F1E2E2A267FA}" name="法人／事業所数" dataCellStyle="桁区切り"/>
    <tableColumn id="15" xr3:uid="{90608769-3FF5-4916-959E-2AEB4FB7F94A}" name="法人／構成比" dataDxfId="353"/>
    <tableColumn id="16" xr3:uid="{E98F6FBA-D9E0-4B77-BB72-3763536CA430}" name="法人以外の団体／事業所数" dataCellStyle="桁区切り"/>
  </tableColumns>
  <tableStyleInfo name="TableStyleMedium9" showFirstColumn="0" showLastColumn="0" showRowStripes="1" showColumnStripes="0"/>
</table>
</file>

<file path=xl/tables/table1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479E2510-8C19-4DF0-9D0A-4D4F83043F57}" name="S_TABLE_11243" displayName="S_TABLE_11243" ref="B46:I66" totalsRowShown="0">
  <autoFilter ref="B46:I66" xr:uid="{479E2510-8C19-4DF0-9D0A-4D4F83043F57}"/>
  <tableColumns count="8">
    <tableColumn id="9" xr3:uid="{FFBABA57-0BAB-40AD-8859-48BA08C32FA7}" name="産業小分類上位２０"/>
    <tableColumn id="10" xr3:uid="{ECBE7EB4-4C74-49BF-AD62-AD7F3D757E07}" name="総数／事業所数" dataCellStyle="桁区切り"/>
    <tableColumn id="11" xr3:uid="{707489E1-627F-4590-A02C-F59B35C8916D}" name="総数／構成比" dataDxfId="352"/>
    <tableColumn id="12" xr3:uid="{E64782C8-77A5-4596-9DAA-C72942411CE4}" name="個人／事業所数" dataCellStyle="桁区切り"/>
    <tableColumn id="13" xr3:uid="{F794CA20-2263-48CF-B541-98BFDFFC8D1F}" name="個人／構成比" dataDxfId="351"/>
    <tableColumn id="14" xr3:uid="{9371B0E5-14A7-4087-BBC5-39183B36FAF4}" name="法人／事業所数" dataCellStyle="桁区切り"/>
    <tableColumn id="15" xr3:uid="{7533438E-2383-4001-B04D-6D84A1D4C13C}" name="法人／構成比" dataDxfId="350"/>
    <tableColumn id="16" xr3:uid="{7461174E-3B6C-4AC0-909B-8207D43DFDC5}" name="法人以外の団体／事業所数" dataCellStyle="桁区切り"/>
  </tableColumns>
  <tableStyleInfo name="TableStyleMedium9" showFirstColumn="0" showLastColumn="0" showRowStripes="1" showColumnStripes="0"/>
</table>
</file>

<file path=xl/tables/table1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47472712-C20B-448B-B33C-A69E2DCB9826}" name="LTBL_11245" displayName="LTBL_11245" ref="B4:I20" totalsRowCount="1">
  <autoFilter ref="B4:I19" xr:uid="{47472712-C20B-448B-B33C-A69E2DCB9826}"/>
  <tableColumns count="8">
    <tableColumn id="9" xr3:uid="{87828475-895A-48CC-847D-CE6705E71AAB}" name="産業大分類" totalsRowLabel="合計" totalsRowDxfId="349"/>
    <tableColumn id="10" xr3:uid="{A70C0B5D-2BDC-480A-BD0A-AF4BD8E745FC}" name="総数／事業所数" totalsRowFunction="custom" totalsRowDxfId="348" dataCellStyle="桁区切り" totalsRowCellStyle="桁区切り">
      <totalsRowFormula>SUM(LTBL_11245[総数／事業所数])</totalsRowFormula>
    </tableColumn>
    <tableColumn id="11" xr3:uid="{05413B09-63EE-4267-BADE-B7FE11F10B35}" name="総数／構成比" dataDxfId="347"/>
    <tableColumn id="12" xr3:uid="{C058ACAD-82F7-44CB-B770-E1635CE6FC8E}" name="個人／事業所数" totalsRowFunction="sum" totalsRowDxfId="346" dataCellStyle="桁区切り" totalsRowCellStyle="桁区切り"/>
    <tableColumn id="13" xr3:uid="{5AE6AFE8-F14A-4861-BBF6-4E88112D2A00}" name="個人／構成比" dataDxfId="345"/>
    <tableColumn id="14" xr3:uid="{F0446ECC-3276-477D-B6E2-ECA0F7BC2FA9}" name="法人／事業所数" totalsRowFunction="sum" totalsRowDxfId="344" dataCellStyle="桁区切り" totalsRowCellStyle="桁区切り"/>
    <tableColumn id="15" xr3:uid="{25179E97-7BCD-4AC0-BBB5-68422D8F938A}" name="法人／構成比" dataDxfId="343"/>
    <tableColumn id="16" xr3:uid="{09AC52A0-0A34-4F7A-A7C5-23F7AC6DCDD7}" name="法人以外の団体／事業所数" totalsRowFunction="sum" totalsRowDxfId="342" dataCellStyle="桁区切り" totalsRowCellStyle="桁区切り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03E64F00-3382-4B12-9179-2FFF381AF934}" name="M_TABLE_11245" displayName="M_TABLE_11245" ref="B23:I43" totalsRowShown="0">
  <autoFilter ref="B23:I43" xr:uid="{03E64F00-3382-4B12-9179-2FFF381AF934}"/>
  <tableColumns count="8">
    <tableColumn id="9" xr3:uid="{6C11FBD8-0415-4852-8A99-226E20D29AEB}" name="産業中分類上位２０"/>
    <tableColumn id="10" xr3:uid="{C6BC73F7-26D6-45D6-A572-4FA437557295}" name="総数／事業所数" dataCellStyle="桁区切り"/>
    <tableColumn id="11" xr3:uid="{B23EA264-12E0-455D-AB72-F457DF8F6EAF}" name="総数／構成比" dataDxfId="341"/>
    <tableColumn id="12" xr3:uid="{FC44050C-093D-4829-A54F-1CFE6E893415}" name="個人／事業所数" dataCellStyle="桁区切り"/>
    <tableColumn id="13" xr3:uid="{AA7D3743-834E-4D38-B55C-64D3AF2ECAAF}" name="個人／構成比" dataDxfId="340"/>
    <tableColumn id="14" xr3:uid="{AA855430-59AA-40F8-9E8D-824FC5F1C1A4}" name="法人／事業所数" dataCellStyle="桁区切り"/>
    <tableColumn id="15" xr3:uid="{F5ACDE43-5D2D-4DEA-8921-271720733A82}" name="法人／構成比" dataDxfId="339"/>
    <tableColumn id="16" xr3:uid="{E4988B4E-ABFD-4112-85F8-05F7BFA076BA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BE14146-569C-4F08-B496-DF4400B2BBAC}" name="S_TABLE_11103" displayName="S_TABLE_11103" ref="B46:I67" totalsRowShown="0">
  <autoFilter ref="B46:I67" xr:uid="{3BE14146-569C-4F08-B496-DF4400B2BBAC}"/>
  <tableColumns count="8">
    <tableColumn id="9" xr3:uid="{74C2A851-37BD-49A8-AC12-F6FB425B46D0}" name="産業小分類上位２０"/>
    <tableColumn id="10" xr3:uid="{DF1F393D-E15D-4D8D-B8EE-CA0736CE819C}" name="総数／事業所数" dataCellStyle="桁区切り"/>
    <tableColumn id="11" xr3:uid="{BBC73511-00E4-4D07-B4B9-9468C21BE1E3}" name="総数／構成比" dataDxfId="968"/>
    <tableColumn id="12" xr3:uid="{16FF85CA-E4D3-425B-9A5E-515997A6E838}" name="個人／事業所数" dataCellStyle="桁区切り"/>
    <tableColumn id="13" xr3:uid="{AF85D87C-25A2-4372-98F8-07F8513BFB2B}" name="個人／構成比" dataDxfId="967"/>
    <tableColumn id="14" xr3:uid="{C228E929-36DD-4EB9-98EB-514596E6FA84}" name="法人／事業所数" dataCellStyle="桁区切り"/>
    <tableColumn id="15" xr3:uid="{51B28FD2-1B66-4691-8C93-AA0B2E33059A}" name="法人／構成比" dataDxfId="966"/>
    <tableColumn id="16" xr3:uid="{9A13101E-4E23-473A-9411-EF6853A0C4F3}" name="法人以外の団体／事業所数" dataCellStyle="桁区切り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0420AD42-5FEE-4F7E-B6BA-CFB007311CCD}" name="S_TABLE_11245" displayName="S_TABLE_11245" ref="B46:I68" totalsRowShown="0">
  <autoFilter ref="B46:I68" xr:uid="{0420AD42-5FEE-4F7E-B6BA-CFB007311CCD}"/>
  <tableColumns count="8">
    <tableColumn id="9" xr3:uid="{78F27236-7584-48A1-97EF-5CE42912C88F}" name="産業小分類上位２０"/>
    <tableColumn id="10" xr3:uid="{77F1E4F3-C4B1-4343-AB30-067215BC2B5E}" name="総数／事業所数" dataCellStyle="桁区切り"/>
    <tableColumn id="11" xr3:uid="{03C44890-401B-433B-A59F-A1B3B2D55A7F}" name="総数／構成比" dataDxfId="338"/>
    <tableColumn id="12" xr3:uid="{E7FA909E-649E-4747-866C-C8B4D76C11C1}" name="個人／事業所数" dataCellStyle="桁区切り"/>
    <tableColumn id="13" xr3:uid="{6F80EF10-B669-45A3-8110-AB8884D38F0F}" name="個人／構成比" dataDxfId="337"/>
    <tableColumn id="14" xr3:uid="{C972CA09-9206-472E-890E-A50C5F1373F2}" name="法人／事業所数" dataCellStyle="桁区切り"/>
    <tableColumn id="15" xr3:uid="{847D9DD4-9A41-4C3D-9C2C-09AA73732E1C}" name="法人／構成比" dataDxfId="336"/>
    <tableColumn id="16" xr3:uid="{FC7464D3-EB67-4054-8533-B3584293174F}" name="法人以外の団体／事業所数" dataCellStyle="桁区切り"/>
  </tableColumns>
  <tableStyleInfo name="TableStyleMedium9" showFirstColumn="0" showLastColumn="0" showRowStripes="1" showColumnStripes="0"/>
</table>
</file>

<file path=xl/tables/table1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DFC2F74F-D221-4DD9-A475-40F099731AD9}" name="LTBL_11246" displayName="LTBL_11246" ref="B4:I20" totalsRowCount="1">
  <autoFilter ref="B4:I19" xr:uid="{DFC2F74F-D221-4DD9-A475-40F099731AD9}"/>
  <tableColumns count="8">
    <tableColumn id="9" xr3:uid="{C70133A6-0EF0-4035-AE20-FA625C9103F4}" name="産業大分類" totalsRowLabel="合計" totalsRowDxfId="335"/>
    <tableColumn id="10" xr3:uid="{005C419A-96EC-4940-93FF-A8CEA634A1F1}" name="総数／事業所数" totalsRowFunction="custom" totalsRowDxfId="334" dataCellStyle="桁区切り" totalsRowCellStyle="桁区切り">
      <totalsRowFormula>SUM(LTBL_11246[総数／事業所数])</totalsRowFormula>
    </tableColumn>
    <tableColumn id="11" xr3:uid="{2A5C1779-CB90-490D-BFC5-6E1D16E898D1}" name="総数／構成比" dataDxfId="333"/>
    <tableColumn id="12" xr3:uid="{2F60C923-CC9D-40CE-B4CD-B4FC17D2CFDA}" name="個人／事業所数" totalsRowFunction="sum" totalsRowDxfId="332" dataCellStyle="桁区切り" totalsRowCellStyle="桁区切り"/>
    <tableColumn id="13" xr3:uid="{776A225D-9568-49AE-9590-3447BA2BC138}" name="個人／構成比" dataDxfId="331"/>
    <tableColumn id="14" xr3:uid="{6A58BC70-3C99-4773-8828-80060EE016BB}" name="法人／事業所数" totalsRowFunction="sum" totalsRowDxfId="330" dataCellStyle="桁区切り" totalsRowCellStyle="桁区切り"/>
    <tableColumn id="15" xr3:uid="{9885E8F5-A238-4E0D-8269-D6236749EFEA}" name="法人／構成比" dataDxfId="329"/>
    <tableColumn id="16" xr3:uid="{0A1EC696-FA12-45DE-AE4A-9D91F16C378F}" name="法人以外の団体／事業所数" totalsRowFunction="sum" totalsRowDxfId="328" dataCellStyle="桁区切り" totalsRowCellStyle="桁区切り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13839E5C-44DB-438F-94E0-F54C5CB21C2E}" name="M_TABLE_11246" displayName="M_TABLE_11246" ref="B23:I45" totalsRowShown="0">
  <autoFilter ref="B23:I45" xr:uid="{13839E5C-44DB-438F-94E0-F54C5CB21C2E}"/>
  <tableColumns count="8">
    <tableColumn id="9" xr3:uid="{BDA7D1F5-EEC9-46A3-BBEF-68435EA4F989}" name="産業中分類上位２０"/>
    <tableColumn id="10" xr3:uid="{A4987EE2-1621-4448-8499-BF380D80DF7D}" name="総数／事業所数" dataCellStyle="桁区切り"/>
    <tableColumn id="11" xr3:uid="{0FF0A417-28C5-45D1-9DFE-63190314F80D}" name="総数／構成比" dataDxfId="327"/>
    <tableColumn id="12" xr3:uid="{7752C7D7-3EEE-4CBB-96FD-BB5DA00C5965}" name="個人／事業所数" dataCellStyle="桁区切り"/>
    <tableColumn id="13" xr3:uid="{C91CC174-93BF-4FA7-854B-5DAD4DFCF7F9}" name="個人／構成比" dataDxfId="326"/>
    <tableColumn id="14" xr3:uid="{98E531E4-ED94-4E46-8AA3-6F662168EFA2}" name="法人／事業所数" dataCellStyle="桁区切り"/>
    <tableColumn id="15" xr3:uid="{397A334D-A3EA-4A6B-88B5-EAA733BBE6EF}" name="法人／構成比" dataDxfId="325"/>
    <tableColumn id="16" xr3:uid="{B2FB4AD7-53F1-4AF9-A6F2-F1DDD04589BD}" name="法人以外の団体／事業所数" dataCellStyle="桁区切り"/>
  </tableColumns>
  <tableStyleInfo name="TableStyleMedium9" showFirstColumn="0" showLastColumn="0" showRowStripes="1" showColumnStripes="0"/>
</table>
</file>

<file path=xl/tables/table1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14510F18-D8A1-4F59-9EF5-C754FA84D833}" name="S_TABLE_11246" displayName="S_TABLE_11246" ref="B48:I69" totalsRowShown="0">
  <autoFilter ref="B48:I69" xr:uid="{14510F18-D8A1-4F59-9EF5-C754FA84D833}"/>
  <tableColumns count="8">
    <tableColumn id="9" xr3:uid="{CA60D254-6D52-4D5C-A2E4-A791088565FE}" name="産業小分類上位２０"/>
    <tableColumn id="10" xr3:uid="{95E61D79-75F6-437B-AD3D-C6D96B843DB9}" name="総数／事業所数" dataCellStyle="桁区切り"/>
    <tableColumn id="11" xr3:uid="{1CA69B8E-DB16-4CC3-857D-8BDD1FCC4D9C}" name="総数／構成比" dataDxfId="324"/>
    <tableColumn id="12" xr3:uid="{77BDEB3C-6F03-4914-A43F-85DFF9F89EF3}" name="個人／事業所数" dataCellStyle="桁区切り"/>
    <tableColumn id="13" xr3:uid="{FFADF5EE-23DE-4973-8506-FECAD68B9CA0}" name="個人／構成比" dataDxfId="323"/>
    <tableColumn id="14" xr3:uid="{8D4B0501-2D0A-4300-B7E0-82595E804CD3}" name="法人／事業所数" dataCellStyle="桁区切り"/>
    <tableColumn id="15" xr3:uid="{39831371-2FA9-433F-AF06-D2DD4DE29743}" name="法人／構成比" dataDxfId="322"/>
    <tableColumn id="16" xr3:uid="{8178645F-EF91-4246-A668-DE5632844298}" name="法人以外の団体／事業所数" dataCellStyle="桁区切り"/>
  </tableColumns>
  <tableStyleInfo name="TableStyleMedium9" showFirstColumn="0" showLastColumn="0" showRowStripes="1" showColumnStripes="0"/>
</table>
</file>

<file path=xl/tables/table1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964361BA-02A8-4E39-BA9D-C7ADE066CFF1}" name="LTBL_11301" displayName="LTBL_11301" ref="B4:I20" totalsRowCount="1">
  <autoFilter ref="B4:I19" xr:uid="{964361BA-02A8-4E39-BA9D-C7ADE066CFF1}"/>
  <tableColumns count="8">
    <tableColumn id="9" xr3:uid="{35DF6BDE-BA46-4566-B5E7-AB7AB3BBCDAC}" name="産業大分類" totalsRowLabel="合計" totalsRowDxfId="321"/>
    <tableColumn id="10" xr3:uid="{99A10E9A-7B4F-4D41-AFB7-7158E97C8BA5}" name="総数／事業所数" totalsRowFunction="custom" totalsRowDxfId="320" dataCellStyle="桁区切り" totalsRowCellStyle="桁区切り">
      <totalsRowFormula>SUM(LTBL_11301[総数／事業所数])</totalsRowFormula>
    </tableColumn>
    <tableColumn id="11" xr3:uid="{96F9909A-7073-4B00-A37B-907A041105DA}" name="総数／構成比" dataDxfId="319"/>
    <tableColumn id="12" xr3:uid="{2EECF143-2D1B-46FB-AF17-1E6799224DDD}" name="個人／事業所数" totalsRowFunction="sum" totalsRowDxfId="318" dataCellStyle="桁区切り" totalsRowCellStyle="桁区切り"/>
    <tableColumn id="13" xr3:uid="{103FD1B9-2C4B-4E2C-B5B7-832F2779EB5A}" name="個人／構成比" dataDxfId="317"/>
    <tableColumn id="14" xr3:uid="{A0339C20-8AA3-40A5-BAB0-19C6D1A45077}" name="法人／事業所数" totalsRowFunction="sum" totalsRowDxfId="316" dataCellStyle="桁区切り" totalsRowCellStyle="桁区切り"/>
    <tableColumn id="15" xr3:uid="{67FC5EED-7512-4CD9-B65A-FCDDCE82E9B8}" name="法人／構成比" dataDxfId="315"/>
    <tableColumn id="16" xr3:uid="{49A6EFE2-B522-4C24-88A3-C601E2EA3A2B}" name="法人以外の団体／事業所数" totalsRowFunction="sum" totalsRowDxfId="314" dataCellStyle="桁区切り" totalsRowCellStyle="桁区切り"/>
  </tableColumns>
  <tableStyleInfo name="TableStyleMedium9" showFirstColumn="0" showLastColumn="0" showRowStripes="1" showColumnStripes="0"/>
</table>
</file>

<file path=xl/tables/table1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92517349-A7CD-48EC-9068-F3A3A1349041}" name="M_TABLE_11301" displayName="M_TABLE_11301" ref="B23:I44" totalsRowShown="0">
  <autoFilter ref="B23:I44" xr:uid="{92517349-A7CD-48EC-9068-F3A3A1349041}"/>
  <tableColumns count="8">
    <tableColumn id="9" xr3:uid="{8E85AD98-85C9-4D52-8FBE-6066856091B4}" name="産業中分類上位２０"/>
    <tableColumn id="10" xr3:uid="{EBBFAB2C-6D2C-482E-81AC-09DEAD9CC694}" name="総数／事業所数" dataCellStyle="桁区切り"/>
    <tableColumn id="11" xr3:uid="{48BB832C-A1C4-422B-B12A-9D7DD94BAC3C}" name="総数／構成比" dataDxfId="313"/>
    <tableColumn id="12" xr3:uid="{FE329F9B-E61A-44F8-9B23-C814D1E6F3FD}" name="個人／事業所数" dataCellStyle="桁区切り"/>
    <tableColumn id="13" xr3:uid="{8A0AED8B-F980-42DB-A38C-B4D3AE08351E}" name="個人／構成比" dataDxfId="312"/>
    <tableColumn id="14" xr3:uid="{638EACA7-22EF-4819-A436-B3779F78D2AD}" name="法人／事業所数" dataCellStyle="桁区切り"/>
    <tableColumn id="15" xr3:uid="{1A1E8BB4-20C2-4EEC-ACF2-19283A61F3FA}" name="法人／構成比" dataDxfId="311"/>
    <tableColumn id="16" xr3:uid="{26378BC3-5835-490F-A625-95A8385377F9}" name="法人以外の団体／事業所数" dataCellStyle="桁区切り"/>
  </tableColumns>
  <tableStyleInfo name="TableStyleMedium9" showFirstColumn="0" showLastColumn="0" showRowStripes="1" showColumnStripes="0"/>
</table>
</file>

<file path=xl/tables/table1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4846FE4E-9715-4518-B2B2-BF3B0B849991}" name="S_TABLE_11301" displayName="S_TABLE_11301" ref="B47:I71" totalsRowShown="0">
  <autoFilter ref="B47:I71" xr:uid="{4846FE4E-9715-4518-B2B2-BF3B0B849991}"/>
  <tableColumns count="8">
    <tableColumn id="9" xr3:uid="{B66EC38B-2D59-4E3F-ADB5-96E4F081C470}" name="産業小分類上位２０"/>
    <tableColumn id="10" xr3:uid="{5DCD87E1-62C9-4B73-B74B-5E262CF11F10}" name="総数／事業所数" dataCellStyle="桁区切り"/>
    <tableColumn id="11" xr3:uid="{AB677333-2C0B-4DBB-A63A-265A0C33596D}" name="総数／構成比" dataDxfId="310"/>
    <tableColumn id="12" xr3:uid="{7330335D-D6B6-4ACE-B884-CEF0C6C831B6}" name="個人／事業所数" dataCellStyle="桁区切り"/>
    <tableColumn id="13" xr3:uid="{9F3249F5-7E4C-403A-8B7A-DDEB62BDB32F}" name="個人／構成比" dataDxfId="309"/>
    <tableColumn id="14" xr3:uid="{92CF9073-2FBD-4184-8A0A-31860CF7E509}" name="法人／事業所数" dataCellStyle="桁区切り"/>
    <tableColumn id="15" xr3:uid="{58728683-9D77-414C-89CA-AFC618783B3F}" name="法人／構成比" dataDxfId="308"/>
    <tableColumn id="16" xr3:uid="{F5D5FBFC-EF72-4322-AD01-C219EE64DF9B}" name="法人以外の団体／事業所数" dataCellStyle="桁区切り"/>
  </tableColumns>
  <tableStyleInfo name="TableStyleMedium9" showFirstColumn="0" showLastColumn="0" showRowStripes="1" showColumnStripes="0"/>
</table>
</file>

<file path=xl/tables/table1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2B17D8F2-89E4-4239-8F97-E3FD382B16D7}" name="LTBL_11324" displayName="LTBL_11324" ref="B4:I20" totalsRowCount="1">
  <autoFilter ref="B4:I19" xr:uid="{2B17D8F2-89E4-4239-8F97-E3FD382B16D7}"/>
  <tableColumns count="8">
    <tableColumn id="9" xr3:uid="{1062867E-DDA6-4244-A8C0-0CC69A754124}" name="産業大分類" totalsRowLabel="合計" totalsRowDxfId="307"/>
    <tableColumn id="10" xr3:uid="{38D4E113-2969-400E-AD7D-43C2EECD32E7}" name="総数／事業所数" totalsRowFunction="custom" totalsRowDxfId="306" dataCellStyle="桁区切り" totalsRowCellStyle="桁区切り">
      <totalsRowFormula>SUM(LTBL_11324[総数／事業所数])</totalsRowFormula>
    </tableColumn>
    <tableColumn id="11" xr3:uid="{395F9D07-8593-4A4B-B5C2-6443C7F2788C}" name="総数／構成比" dataDxfId="305"/>
    <tableColumn id="12" xr3:uid="{7E600BAB-2F38-4EE8-9A08-A0CA2255D4C7}" name="個人／事業所数" totalsRowFunction="sum" totalsRowDxfId="304" dataCellStyle="桁区切り" totalsRowCellStyle="桁区切り"/>
    <tableColumn id="13" xr3:uid="{4707BC96-F55D-400C-BFB2-C358A000A845}" name="個人／構成比" dataDxfId="303"/>
    <tableColumn id="14" xr3:uid="{8C72F2AF-5A7E-48F6-81B4-08F02CF06572}" name="法人／事業所数" totalsRowFunction="sum" totalsRowDxfId="302" dataCellStyle="桁区切り" totalsRowCellStyle="桁区切り"/>
    <tableColumn id="15" xr3:uid="{369694DD-2AFD-45F7-8C27-EE32B88AC9FD}" name="法人／構成比" dataDxfId="301"/>
    <tableColumn id="16" xr3:uid="{4ADB63E4-0C7D-4CEF-A283-329A802CB6E6}" name="法人以外の団体／事業所数" totalsRowFunction="sum" totalsRowDxfId="300" dataCellStyle="桁区切り" totalsRowCellStyle="桁区切り"/>
  </tableColumns>
  <tableStyleInfo name="TableStyleMedium9" showFirstColumn="0" showLastColumn="0" showRowStripes="1" showColumnStripes="0"/>
</table>
</file>

<file path=xl/tables/table1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98439A5B-2F7D-472E-B642-3C3B93901ED1}" name="M_TABLE_11324" displayName="M_TABLE_11324" ref="B23:I43" totalsRowShown="0">
  <autoFilter ref="B23:I43" xr:uid="{98439A5B-2F7D-472E-B642-3C3B93901ED1}"/>
  <tableColumns count="8">
    <tableColumn id="9" xr3:uid="{CC233930-C2A8-437F-AB51-869EE33BA219}" name="産業中分類上位２０"/>
    <tableColumn id="10" xr3:uid="{822D8FFC-62E3-498F-A82A-C56C6BAD8F34}" name="総数／事業所数" dataCellStyle="桁区切り"/>
    <tableColumn id="11" xr3:uid="{642D2135-5832-4CB8-AE51-200722ED1EB6}" name="総数／構成比" dataDxfId="299"/>
    <tableColumn id="12" xr3:uid="{90096A3B-402C-4E28-A888-217FD1158906}" name="個人／事業所数" dataCellStyle="桁区切り"/>
    <tableColumn id="13" xr3:uid="{9EA29048-09D4-4F25-B130-97066E371A79}" name="個人／構成比" dataDxfId="298"/>
    <tableColumn id="14" xr3:uid="{3C276AD6-31EB-4D5D-A030-76BDA375064B}" name="法人／事業所数" dataCellStyle="桁区切り"/>
    <tableColumn id="15" xr3:uid="{6B484D56-F836-4F8D-AE49-E3ED953757A1}" name="法人／構成比" dataDxfId="297"/>
    <tableColumn id="16" xr3:uid="{ABE1C0C8-9D46-4F65-B650-4A3A59BA62A7}" name="法人以外の団体／事業所数" dataCellStyle="桁区切り"/>
  </tableColumns>
  <tableStyleInfo name="TableStyleMedium9" showFirstColumn="0" showLastColumn="0" showRowStripes="1" showColumnStripes="0"/>
</table>
</file>

<file path=xl/tables/table1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78193D35-C4AD-46CD-BB6A-AC9CB395C04D}" name="S_TABLE_11324" displayName="S_TABLE_11324" ref="B46:I68" totalsRowShown="0">
  <autoFilter ref="B46:I68" xr:uid="{78193D35-C4AD-46CD-BB6A-AC9CB395C04D}"/>
  <tableColumns count="8">
    <tableColumn id="9" xr3:uid="{6244378D-84A9-47AF-AD55-B778D327C81F}" name="産業小分類上位２０"/>
    <tableColumn id="10" xr3:uid="{CD4F228F-E561-4A5A-9908-D5D91C97EF32}" name="総数／事業所数" dataCellStyle="桁区切り"/>
    <tableColumn id="11" xr3:uid="{D4F5F7C6-EC4F-4A07-B235-80E1C23B37A8}" name="総数／構成比" dataDxfId="296"/>
    <tableColumn id="12" xr3:uid="{7FEA7D43-F3C9-4672-A7A9-61B15415F0F4}" name="個人／事業所数" dataCellStyle="桁区切り"/>
    <tableColumn id="13" xr3:uid="{0F7E52B5-AD70-4B35-A2FA-7C711293F8AD}" name="個人／構成比" dataDxfId="295"/>
    <tableColumn id="14" xr3:uid="{9647E545-1A1E-4B0C-B15A-4EDDC3877DA5}" name="法人／事業所数" dataCellStyle="桁区切り"/>
    <tableColumn id="15" xr3:uid="{98380931-D594-4CCB-BB14-A61A2D0ACB48}" name="法人／構成比" dataDxfId="294"/>
    <tableColumn id="16" xr3:uid="{760F690F-1BDF-426D-96B7-318BDC1A747C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B1D6B2BC-E703-4E51-AE0B-35B0ADC6211C}" name="LTBL_11104" displayName="LTBL_11104" ref="B4:I20" totalsRowCount="1">
  <autoFilter ref="B4:I19" xr:uid="{B1D6B2BC-E703-4E51-AE0B-35B0ADC6211C}"/>
  <tableColumns count="8">
    <tableColumn id="9" xr3:uid="{1E2A714D-C526-497F-A480-DAFE95A144EE}" name="産業大分類" totalsRowLabel="合計" totalsRowDxfId="965"/>
    <tableColumn id="10" xr3:uid="{4F734B98-611B-4628-88EC-3DFC59BB8DEE}" name="総数／事業所数" totalsRowFunction="custom" totalsRowDxfId="964" dataCellStyle="桁区切り" totalsRowCellStyle="桁区切り">
      <totalsRowFormula>SUM(LTBL_11104[総数／事業所数])</totalsRowFormula>
    </tableColumn>
    <tableColumn id="11" xr3:uid="{EA904D0B-2A9A-402C-A90B-00AF1873AE3D}" name="総数／構成比" dataDxfId="963"/>
    <tableColumn id="12" xr3:uid="{7769B9CC-4B4D-4AA7-9A34-60B98A506056}" name="個人／事業所数" totalsRowFunction="sum" totalsRowDxfId="962" dataCellStyle="桁区切り" totalsRowCellStyle="桁区切り"/>
    <tableColumn id="13" xr3:uid="{51335ACC-24F9-4B33-8670-F3E22ABC648C}" name="個人／構成比" dataDxfId="961"/>
    <tableColumn id="14" xr3:uid="{95B5CC1B-35E1-4CA9-AD82-CA95B52ED728}" name="法人／事業所数" totalsRowFunction="sum" totalsRowDxfId="960" dataCellStyle="桁区切り" totalsRowCellStyle="桁区切り"/>
    <tableColumn id="15" xr3:uid="{BB0061AB-BA3A-49A6-ABED-A4058B121B86}" name="法人／構成比" dataDxfId="959"/>
    <tableColumn id="16" xr3:uid="{FD090562-0CA7-4AD2-B9BF-849013C8A322}" name="法人以外の団体／事業所数" totalsRowFunction="sum" totalsRowDxfId="958" dataCellStyle="桁区切り" totalsRowCellStyle="桁区切り"/>
  </tableColumns>
  <tableStyleInfo name="TableStyleMedium9" showFirstColumn="0" showLastColumn="0" showRowStripes="1" showColumnStripes="0"/>
</table>
</file>

<file path=xl/tables/table1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1F5D88DE-9D1B-4D47-82FE-D5F94A296CD8}" name="LTBL_11326" displayName="LTBL_11326" ref="B4:I20" totalsRowCount="1">
  <autoFilter ref="B4:I19" xr:uid="{1F5D88DE-9D1B-4D47-82FE-D5F94A296CD8}"/>
  <tableColumns count="8">
    <tableColumn id="9" xr3:uid="{83626E9E-8209-4E46-9B81-78355E58695D}" name="産業大分類" totalsRowLabel="合計" totalsRowDxfId="293"/>
    <tableColumn id="10" xr3:uid="{493F195F-04E9-4087-A461-8254F3DDA5A5}" name="総数／事業所数" totalsRowFunction="custom" totalsRowDxfId="292" dataCellStyle="桁区切り" totalsRowCellStyle="桁区切り">
      <totalsRowFormula>SUM(LTBL_11326[総数／事業所数])</totalsRowFormula>
    </tableColumn>
    <tableColumn id="11" xr3:uid="{AEE26FB6-056B-45AD-82BD-15A324CDF6B1}" name="総数／構成比" dataDxfId="291"/>
    <tableColumn id="12" xr3:uid="{936C5A7B-23D3-442F-8373-F13C0EDCAEA9}" name="個人／事業所数" totalsRowFunction="sum" totalsRowDxfId="290" dataCellStyle="桁区切り" totalsRowCellStyle="桁区切り"/>
    <tableColumn id="13" xr3:uid="{2775D7FC-D8F6-4228-B3AC-5BBF2355D573}" name="個人／構成比" dataDxfId="289"/>
    <tableColumn id="14" xr3:uid="{B153A930-31E3-489A-864A-7FF5A52C4563}" name="法人／事業所数" totalsRowFunction="sum" totalsRowDxfId="288" dataCellStyle="桁区切り" totalsRowCellStyle="桁区切り"/>
    <tableColumn id="15" xr3:uid="{87D59679-5E3A-452E-B7C3-8B24D4C2B9E6}" name="法人／構成比" dataDxfId="287"/>
    <tableColumn id="16" xr3:uid="{3AF8D884-317A-4F43-B23C-90C456110BE1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1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EDD5B988-055C-40E5-913D-E33B9A238D6B}" name="M_TABLE_11326" displayName="M_TABLE_11326" ref="B23:I43" totalsRowShown="0">
  <autoFilter ref="B23:I43" xr:uid="{EDD5B988-055C-40E5-913D-E33B9A238D6B}"/>
  <tableColumns count="8">
    <tableColumn id="9" xr3:uid="{EA2BF0F5-83E2-4752-B389-FBEB5AF9B356}" name="産業中分類上位２０"/>
    <tableColumn id="10" xr3:uid="{CD6938D2-68EE-4BAC-93D7-6C07F90C157A}" name="総数／事業所数" dataCellStyle="桁区切り"/>
    <tableColumn id="11" xr3:uid="{6F5292A3-A14C-469A-B3F5-19AC476C85EB}" name="総数／構成比" dataDxfId="285"/>
    <tableColumn id="12" xr3:uid="{F9B360C6-6D7F-429D-AAEB-E88F93B06A3A}" name="個人／事業所数" dataCellStyle="桁区切り"/>
    <tableColumn id="13" xr3:uid="{62575DEB-F911-4757-BB9C-5DFDD26DD830}" name="個人／構成比" dataDxfId="284"/>
    <tableColumn id="14" xr3:uid="{BC991FD5-69B6-4D6F-B5F2-7F8506D10DD3}" name="法人／事業所数" dataCellStyle="桁区切り"/>
    <tableColumn id="15" xr3:uid="{D2C45633-18F2-49F6-9DE9-6F68684A5AA7}" name="法人／構成比" dataDxfId="283"/>
    <tableColumn id="16" xr3:uid="{63B803E7-2C22-44BB-8D34-46E1B8BA9475}" name="法人以外の団体／事業所数" dataCellStyle="桁区切り"/>
  </tableColumns>
  <tableStyleInfo name="TableStyleMedium9" showFirstColumn="0" showLastColumn="0" showRowStripes="1" showColumnStripes="0"/>
</table>
</file>

<file path=xl/tables/table1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F006A3F0-DCCA-4AB9-B567-DD120754025F}" name="S_TABLE_11326" displayName="S_TABLE_11326" ref="B46:I68" totalsRowShown="0">
  <autoFilter ref="B46:I68" xr:uid="{F006A3F0-DCCA-4AB9-B567-DD120754025F}"/>
  <tableColumns count="8">
    <tableColumn id="9" xr3:uid="{59933FD3-D3B6-46DA-8701-423D9100F983}" name="産業小分類上位２０"/>
    <tableColumn id="10" xr3:uid="{483B78CE-32FA-41D7-BCA2-17BC474DB7A1}" name="総数／事業所数" dataCellStyle="桁区切り"/>
    <tableColumn id="11" xr3:uid="{78AA94A9-2547-46AC-A317-C0E60A32ED23}" name="総数／構成比" dataDxfId="282"/>
    <tableColumn id="12" xr3:uid="{BD79119C-07B4-4127-9C70-BDE6A2BE86B6}" name="個人／事業所数" dataCellStyle="桁区切り"/>
    <tableColumn id="13" xr3:uid="{D50D8A82-9063-4C89-A696-8F1BD651FE23}" name="個人／構成比" dataDxfId="281"/>
    <tableColumn id="14" xr3:uid="{33DBA407-3983-4D69-ABB8-28C90DCC750B}" name="法人／事業所数" dataCellStyle="桁区切り"/>
    <tableColumn id="15" xr3:uid="{BAB434E2-EA0A-44DC-A3D5-F86B8A5B7C74}" name="法人／構成比" dataDxfId="280"/>
    <tableColumn id="16" xr3:uid="{B6409FBA-EBB0-48EF-95CA-9055B44BBDC6}" name="法人以外の団体／事業所数" dataCellStyle="桁区切り"/>
  </tableColumns>
  <tableStyleInfo name="TableStyleMedium9" showFirstColumn="0" showLastColumn="0" showRowStripes="1" showColumnStripes="0"/>
</table>
</file>

<file path=xl/tables/table1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AA44DAFE-9519-4E7D-8808-28C21AEA02D3}" name="LTBL_11327" displayName="LTBL_11327" ref="B4:I20" totalsRowCount="1">
  <autoFilter ref="B4:I19" xr:uid="{AA44DAFE-9519-4E7D-8808-28C21AEA02D3}"/>
  <tableColumns count="8">
    <tableColumn id="9" xr3:uid="{C47B21DA-209B-4F2F-B014-855CD5F3D40C}" name="産業大分類" totalsRowLabel="合計" totalsRowDxfId="279"/>
    <tableColumn id="10" xr3:uid="{78BACA14-EC38-4994-88F7-94DA9B1EC255}" name="総数／事業所数" totalsRowFunction="custom" totalsRowDxfId="278" dataCellStyle="桁区切り" totalsRowCellStyle="桁区切り">
      <totalsRowFormula>SUM(LTBL_11327[総数／事業所数])</totalsRowFormula>
    </tableColumn>
    <tableColumn id="11" xr3:uid="{18BE1318-C4C3-48AA-B069-0DBFF133933E}" name="総数／構成比" dataDxfId="277"/>
    <tableColumn id="12" xr3:uid="{6ED354C5-9E12-4EF4-A38F-09832DA385C7}" name="個人／事業所数" totalsRowFunction="sum" totalsRowDxfId="276" dataCellStyle="桁区切り" totalsRowCellStyle="桁区切り"/>
    <tableColumn id="13" xr3:uid="{01FE2291-622D-4A7B-9970-5E73D0188FE5}" name="個人／構成比" dataDxfId="275"/>
    <tableColumn id="14" xr3:uid="{EB8CC04D-A913-4179-B434-47ABE6F255CA}" name="法人／事業所数" totalsRowFunction="sum" totalsRowDxfId="274" dataCellStyle="桁区切り" totalsRowCellStyle="桁区切り"/>
    <tableColumn id="15" xr3:uid="{DB756FD3-455A-4FF6-8887-3F1DCD70D11A}" name="法人／構成比" dataDxfId="273"/>
    <tableColumn id="16" xr3:uid="{AC90507C-9048-44EF-92A3-77FB101F868E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1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81EE8BB4-CB4D-45CA-B56A-EA07CC2B865D}" name="M_TABLE_11327" displayName="M_TABLE_11327" ref="B23:I51" totalsRowShown="0">
  <autoFilter ref="B23:I51" xr:uid="{81EE8BB4-CB4D-45CA-B56A-EA07CC2B865D}"/>
  <tableColumns count="8">
    <tableColumn id="9" xr3:uid="{8B0E26B5-69A8-4402-AACA-8276CDFC781E}" name="産業中分類上位２０"/>
    <tableColumn id="10" xr3:uid="{846312C5-D5A9-45EE-85FE-1C544D231A1C}" name="総数／事業所数" dataCellStyle="桁区切り"/>
    <tableColumn id="11" xr3:uid="{8CD8B19A-5B81-45B6-A226-08EF46FEF5E0}" name="総数／構成比" dataDxfId="271"/>
    <tableColumn id="12" xr3:uid="{F668BDAB-7BCE-477C-9A84-D0C97FAF1616}" name="個人／事業所数" dataCellStyle="桁区切り"/>
    <tableColumn id="13" xr3:uid="{4AC28914-995A-4A33-A11B-77AA33ABFBBF}" name="個人／構成比" dataDxfId="270"/>
    <tableColumn id="14" xr3:uid="{38E387DA-9362-4F15-B66E-D813C2934991}" name="法人／事業所数" dataCellStyle="桁区切り"/>
    <tableColumn id="15" xr3:uid="{7AE1D045-3654-47D5-80B3-54F6F7C55564}" name="法人／構成比" dataDxfId="269"/>
    <tableColumn id="16" xr3:uid="{E3AF0509-C6BB-498B-9502-33826DF9FB49}" name="法人以外の団体／事業所数" dataCellStyle="桁区切り"/>
  </tableColumns>
  <tableStyleInfo name="TableStyleMedium9" showFirstColumn="0" showLastColumn="0" showRowStripes="1" showColumnStripes="0"/>
</table>
</file>

<file path=xl/tables/table1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A1CC20AF-28E6-454B-BB12-AA05E8338B1B}" name="S_TABLE_11327" displayName="S_TABLE_11327" ref="B54:I76" totalsRowShown="0">
  <autoFilter ref="B54:I76" xr:uid="{A1CC20AF-28E6-454B-BB12-AA05E8338B1B}"/>
  <tableColumns count="8">
    <tableColumn id="9" xr3:uid="{0F6EF758-173D-4886-96B2-DE387B634014}" name="産業小分類上位２０"/>
    <tableColumn id="10" xr3:uid="{046D2B7E-6159-42A2-AB97-E635FEB7234D}" name="総数／事業所数" dataCellStyle="桁区切り"/>
    <tableColumn id="11" xr3:uid="{CD9F48E8-20CF-40A5-B368-4DAA5F1B29FD}" name="総数／構成比" dataDxfId="268"/>
    <tableColumn id="12" xr3:uid="{3D352C8A-4F10-4C9D-A1D6-AEC6D7ADD76A}" name="個人／事業所数" dataCellStyle="桁区切り"/>
    <tableColumn id="13" xr3:uid="{8AD282B1-4D6A-4EEB-B384-EB7AA3E84B1B}" name="個人／構成比" dataDxfId="267"/>
    <tableColumn id="14" xr3:uid="{5AE7823E-EB32-4428-854D-3D6B3A2E9751}" name="法人／事業所数" dataCellStyle="桁区切り"/>
    <tableColumn id="15" xr3:uid="{3C08E9B9-F404-431C-94F6-868F2F841028}" name="法人／構成比" dataDxfId="266"/>
    <tableColumn id="16" xr3:uid="{7925EB92-DCF9-4FED-93AB-277273958373}" name="法人以外の団体／事業所数" dataCellStyle="桁区切り"/>
  </tableColumns>
  <tableStyleInfo name="TableStyleMedium9" showFirstColumn="0" showLastColumn="0" showRowStripes="1" showColumnStripes="0"/>
</table>
</file>

<file path=xl/tables/table1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13E40EA7-7F10-4AF3-9987-4F5C7C923252}" name="LTBL_11341" displayName="LTBL_11341" ref="B4:I20" totalsRowCount="1">
  <autoFilter ref="B4:I19" xr:uid="{13E40EA7-7F10-4AF3-9987-4F5C7C923252}"/>
  <tableColumns count="8">
    <tableColumn id="9" xr3:uid="{6A68ED75-0337-40FF-8C19-DF6D03535BE4}" name="産業大分類" totalsRowLabel="合計" totalsRowDxfId="265"/>
    <tableColumn id="10" xr3:uid="{F3411746-7DFC-4AB6-A604-5A7FAAFDF243}" name="総数／事業所数" totalsRowFunction="custom" totalsRowDxfId="264" dataCellStyle="桁区切り" totalsRowCellStyle="桁区切り">
      <totalsRowFormula>SUM(LTBL_11341[総数／事業所数])</totalsRowFormula>
    </tableColumn>
    <tableColumn id="11" xr3:uid="{02A3B21B-1877-499A-9C2E-B1B16E062334}" name="総数／構成比" dataDxfId="263"/>
    <tableColumn id="12" xr3:uid="{4B73AE23-8148-4E56-AF43-0A6146FE6DF3}" name="個人／事業所数" totalsRowFunction="sum" totalsRowDxfId="262" dataCellStyle="桁区切り" totalsRowCellStyle="桁区切り"/>
    <tableColumn id="13" xr3:uid="{BD761783-36E4-49BC-BD19-F14F1D54271E}" name="個人／構成比" dataDxfId="261"/>
    <tableColumn id="14" xr3:uid="{B02E7BF3-0707-487F-B44B-97917EAD4893}" name="法人／事業所数" totalsRowFunction="sum" totalsRowDxfId="260" dataCellStyle="桁区切り" totalsRowCellStyle="桁区切り"/>
    <tableColumn id="15" xr3:uid="{A5DC8E8C-7A0A-4425-A624-BD8B8EC40D57}" name="法人／構成比" dataDxfId="259"/>
    <tableColumn id="16" xr3:uid="{58EDA9A3-C804-4283-8784-8732FBBC57FA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1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72599434-61DA-45CA-95A3-57E966659480}" name="M_TABLE_11341" displayName="M_TABLE_11341" ref="B23:I45" totalsRowShown="0">
  <autoFilter ref="B23:I45" xr:uid="{72599434-61DA-45CA-95A3-57E966659480}"/>
  <tableColumns count="8">
    <tableColumn id="9" xr3:uid="{A0CA8B27-E407-4FD9-9565-90ED50D5C0D2}" name="産業中分類上位２０"/>
    <tableColumn id="10" xr3:uid="{7F3E429C-A8A4-4A31-B911-FA3E7BD53622}" name="総数／事業所数" dataCellStyle="桁区切り"/>
    <tableColumn id="11" xr3:uid="{A00FC056-471A-4140-B911-4E2DFE0E347B}" name="総数／構成比" dataDxfId="257"/>
    <tableColumn id="12" xr3:uid="{70DECC25-9F7F-40BB-AE65-38688262E4B4}" name="個人／事業所数" dataCellStyle="桁区切り"/>
    <tableColumn id="13" xr3:uid="{4D7F9092-1F2A-4CCC-95B3-A8B4550513D7}" name="個人／構成比" dataDxfId="256"/>
    <tableColumn id="14" xr3:uid="{DCEE79AC-F509-4956-9785-34ABFA768F07}" name="法人／事業所数" dataCellStyle="桁区切り"/>
    <tableColumn id="15" xr3:uid="{023A1297-5C5F-4108-83DD-74A8E65DCC7D}" name="法人／構成比" dataDxfId="255"/>
    <tableColumn id="16" xr3:uid="{C06D5352-0480-4F79-AAC0-8F7A24FE4B35}" name="法人以外の団体／事業所数" dataCellStyle="桁区切り"/>
  </tableColumns>
  <tableStyleInfo name="TableStyleMedium9" showFirstColumn="0" showLastColumn="0" showRowStripes="1" showColumnStripes="0"/>
</table>
</file>

<file path=xl/tables/table1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D49913D3-0E0B-4619-9D66-3DAC450CDF80}" name="S_TABLE_11341" displayName="S_TABLE_11341" ref="B48:I68" totalsRowShown="0">
  <autoFilter ref="B48:I68" xr:uid="{D49913D3-0E0B-4619-9D66-3DAC450CDF80}"/>
  <tableColumns count="8">
    <tableColumn id="9" xr3:uid="{5A052E6A-DBFA-43C5-992C-A39CB6C47516}" name="産業小分類上位２０"/>
    <tableColumn id="10" xr3:uid="{5245FC3A-0336-4200-AFCC-9E09E0211702}" name="総数／事業所数" dataCellStyle="桁区切り"/>
    <tableColumn id="11" xr3:uid="{06B922DF-BDDF-4C39-919D-B19D99339864}" name="総数／構成比" dataDxfId="254"/>
    <tableColumn id="12" xr3:uid="{C16E6F93-C81B-463D-8745-1A59A2F9A421}" name="個人／事業所数" dataCellStyle="桁区切り"/>
    <tableColumn id="13" xr3:uid="{52705328-F4B1-427D-8E59-E33853A5B7FD}" name="個人／構成比" dataDxfId="253"/>
    <tableColumn id="14" xr3:uid="{A890F201-9790-44B5-AC9E-3D523270A91A}" name="法人／事業所数" dataCellStyle="桁区切り"/>
    <tableColumn id="15" xr3:uid="{43C391C2-FED8-43DE-8380-743C4F3B544C}" name="法人／構成比" dataDxfId="252"/>
    <tableColumn id="16" xr3:uid="{8696A1B8-1C89-4701-BA9E-A54B45FE5477}" name="法人以外の団体／事業所数" dataCellStyle="桁区切り"/>
  </tableColumns>
  <tableStyleInfo name="TableStyleMedium9" showFirstColumn="0" showLastColumn="0" showRowStripes="1" showColumnStripes="0"/>
</table>
</file>

<file path=xl/tables/table1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50EFBEBF-E8E3-4318-A621-E95229450711}" name="LTBL_11342" displayName="LTBL_11342" ref="B4:I20" totalsRowCount="1">
  <autoFilter ref="B4:I19" xr:uid="{50EFBEBF-E8E3-4318-A621-E95229450711}"/>
  <tableColumns count="8">
    <tableColumn id="9" xr3:uid="{6AB597CF-333E-4DD6-9F74-E4288806AF8A}" name="産業大分類" totalsRowLabel="合計" totalsRowDxfId="251"/>
    <tableColumn id="10" xr3:uid="{DAA3A697-D22E-4245-9DC7-D0FE792450B2}" name="総数／事業所数" totalsRowFunction="custom" totalsRowDxfId="250" dataCellStyle="桁区切り" totalsRowCellStyle="桁区切り">
      <totalsRowFormula>SUM(LTBL_11342[総数／事業所数])</totalsRowFormula>
    </tableColumn>
    <tableColumn id="11" xr3:uid="{C4CD7F97-22C7-47A1-B173-C53D4CCDAFEF}" name="総数／構成比" dataDxfId="249"/>
    <tableColumn id="12" xr3:uid="{FFF6D08D-036C-40F6-BFEC-53DCE3BAFBFC}" name="個人／事業所数" totalsRowFunction="sum" totalsRowDxfId="248" dataCellStyle="桁区切り" totalsRowCellStyle="桁区切り"/>
    <tableColumn id="13" xr3:uid="{593DE0A0-F119-4235-9A89-16362EA78FB2}" name="個人／構成比" dataDxfId="247"/>
    <tableColumn id="14" xr3:uid="{E88AAA51-7E63-45C8-A051-A19DDE968D83}" name="法人／事業所数" totalsRowFunction="sum" totalsRowDxfId="246" dataCellStyle="桁区切り" totalsRowCellStyle="桁区切り"/>
    <tableColumn id="15" xr3:uid="{8FD2DEAC-6CC9-47DF-96B9-EE661DF25B37}" name="法人／構成比" dataDxfId="245"/>
    <tableColumn id="16" xr3:uid="{99045F39-2A30-4528-959C-2D466FEB1C06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AEC59B05-1CE9-46D9-9850-84317AB5839A}" name="M_TABLE_11104" displayName="M_TABLE_11104" ref="B23:I43" totalsRowShown="0">
  <autoFilter ref="B23:I43" xr:uid="{AEC59B05-1CE9-46D9-9850-84317AB5839A}"/>
  <tableColumns count="8">
    <tableColumn id="9" xr3:uid="{59958756-45A5-4D36-8A93-907B1DF6BA64}" name="産業中分類上位２０"/>
    <tableColumn id="10" xr3:uid="{39CE0296-04F7-45A7-B010-3E612DB2989E}" name="総数／事業所数" dataCellStyle="桁区切り"/>
    <tableColumn id="11" xr3:uid="{5E888CAA-0443-4BF8-BA0B-719E02511496}" name="総数／構成比" dataDxfId="957"/>
    <tableColumn id="12" xr3:uid="{81745540-26BE-4DE8-9BA6-95433AA3B526}" name="個人／事業所数" dataCellStyle="桁区切り"/>
    <tableColumn id="13" xr3:uid="{602DE294-BA35-4889-82C5-AA8442B8537F}" name="個人／構成比" dataDxfId="956"/>
    <tableColumn id="14" xr3:uid="{B696B065-D567-4F84-8423-0D05AFCEEF26}" name="法人／事業所数" dataCellStyle="桁区切り"/>
    <tableColumn id="15" xr3:uid="{B93C3E78-0300-4016-811C-4F4EEB78C9BA}" name="法人／構成比" dataDxfId="955"/>
    <tableColumn id="16" xr3:uid="{AC3616F0-260E-46E0-8DED-AFBC0F3EE21C}" name="法人以外の団体／事業所数" dataCellStyle="桁区切り"/>
  </tableColumns>
  <tableStyleInfo name="TableStyleMedium9" showFirstColumn="0" showLastColumn="0" showRowStripes="1" showColumnStripes="0"/>
</table>
</file>

<file path=xl/tables/table1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BE241262-22CB-4642-995F-6D5ACB3E3029}" name="M_TABLE_11342" displayName="M_TABLE_11342" ref="B23:I45" totalsRowShown="0">
  <autoFilter ref="B23:I45" xr:uid="{BE241262-22CB-4642-995F-6D5ACB3E3029}"/>
  <tableColumns count="8">
    <tableColumn id="9" xr3:uid="{CA257B54-4FF1-44AD-A9DC-6B8A2FB785CE}" name="産業中分類上位２０"/>
    <tableColumn id="10" xr3:uid="{1BABD383-92B9-4B2A-974A-18A1944CC69F}" name="総数／事業所数" dataCellStyle="桁区切り"/>
    <tableColumn id="11" xr3:uid="{8A2ED4FE-0F02-4950-B463-7F2F13B4BC9C}" name="総数／構成比" dataDxfId="243"/>
    <tableColumn id="12" xr3:uid="{A513FFE9-2FA3-4F3C-87A9-8A7A371B2284}" name="個人／事業所数" dataCellStyle="桁区切り"/>
    <tableColumn id="13" xr3:uid="{CD88C71F-7B41-4502-8FAD-090A46E0EE14}" name="個人／構成比" dataDxfId="242"/>
    <tableColumn id="14" xr3:uid="{0F5DB97B-B120-4F59-A842-36D265E26B79}" name="法人／事業所数" dataCellStyle="桁区切り"/>
    <tableColumn id="15" xr3:uid="{A4D046D7-0395-4DA3-B36C-F5A68E93745A}" name="法人／構成比" dataDxfId="241"/>
    <tableColumn id="16" xr3:uid="{F937FF24-55F1-4F6B-8D25-577612D86D4A}" name="法人以外の団体／事業所数" dataCellStyle="桁区切り"/>
  </tableColumns>
  <tableStyleInfo name="TableStyleMedium9" showFirstColumn="0" showLastColumn="0" showRowStripes="1" showColumnStripes="0"/>
</table>
</file>

<file path=xl/tables/table1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815DB3EF-3FB7-44AF-B46B-E516EE945B7B}" name="S_TABLE_11342" displayName="S_TABLE_11342" ref="B48:I68" totalsRowShown="0">
  <autoFilter ref="B48:I68" xr:uid="{815DB3EF-3FB7-44AF-B46B-E516EE945B7B}"/>
  <tableColumns count="8">
    <tableColumn id="9" xr3:uid="{D50CC249-DBC0-47E1-869F-5431EF0F9A81}" name="産業小分類上位２０"/>
    <tableColumn id="10" xr3:uid="{BFBD473F-60FD-4200-816C-738496602258}" name="総数／事業所数" dataCellStyle="桁区切り"/>
    <tableColumn id="11" xr3:uid="{B369B528-B4E8-4E93-A957-E15AD65364BC}" name="総数／構成比" dataDxfId="240"/>
    <tableColumn id="12" xr3:uid="{4120D3CB-D363-457F-93EB-24B9EE156157}" name="個人／事業所数" dataCellStyle="桁区切り"/>
    <tableColumn id="13" xr3:uid="{4A8D6E4F-0F93-4105-A994-6107F0F45DDC}" name="個人／構成比" dataDxfId="239"/>
    <tableColumn id="14" xr3:uid="{137B477B-E1F9-42C4-BB1D-AAFC46634DB9}" name="法人／事業所数" dataCellStyle="桁区切り"/>
    <tableColumn id="15" xr3:uid="{1AA2DE70-C5F5-4D0F-8C7C-D7FC67D0DB0A}" name="法人／構成比" dataDxfId="238"/>
    <tableColumn id="16" xr3:uid="{A9CD9181-75B9-4F8F-AFCC-345B91C1EFBC}" name="法人以外の団体／事業所数" dataCellStyle="桁区切り"/>
  </tableColumns>
  <tableStyleInfo name="TableStyleMedium9" showFirstColumn="0" showLastColumn="0" showRowStripes="1" showColumnStripes="0"/>
</table>
</file>

<file path=xl/tables/table1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2" xr:uid="{1710FF4E-DA12-4A5F-A9CC-37A320F6CE50}" name="LTBL_11343" displayName="LTBL_11343" ref="B4:I20" totalsRowCount="1">
  <autoFilter ref="B4:I19" xr:uid="{1710FF4E-DA12-4A5F-A9CC-37A320F6CE50}"/>
  <tableColumns count="8">
    <tableColumn id="9" xr3:uid="{D6354C64-9E06-40E0-8BE5-8E2AC32D3FB2}" name="産業大分類" totalsRowLabel="合計" totalsRowDxfId="237"/>
    <tableColumn id="10" xr3:uid="{6E6798DC-6D3E-4213-9446-0791A6B0D792}" name="総数／事業所数" totalsRowFunction="custom" totalsRowDxfId="236" dataCellStyle="桁区切り" totalsRowCellStyle="桁区切り">
      <totalsRowFormula>SUM(LTBL_11343[総数／事業所数])</totalsRowFormula>
    </tableColumn>
    <tableColumn id="11" xr3:uid="{69A0A50C-DF1D-44BD-82E6-7170C313CC08}" name="総数／構成比" dataDxfId="235"/>
    <tableColumn id="12" xr3:uid="{7ACC0DC0-F32C-4764-B3F2-4CF4F3216067}" name="個人／事業所数" totalsRowFunction="sum" totalsRowDxfId="234" dataCellStyle="桁区切り" totalsRowCellStyle="桁区切り"/>
    <tableColumn id="13" xr3:uid="{0A3A1E7A-CA3F-4D29-AD98-C4CCFE1E7364}" name="個人／構成比" dataDxfId="233"/>
    <tableColumn id="14" xr3:uid="{165DB1FB-2788-497C-AB6D-1938034BB8E3}" name="法人／事業所数" totalsRowFunction="sum" totalsRowDxfId="232" dataCellStyle="桁区切り" totalsRowCellStyle="桁区切り"/>
    <tableColumn id="15" xr3:uid="{9EC5E4EE-F130-48D8-8F84-A0C7FF3E2E81}" name="法人／構成比" dataDxfId="231"/>
    <tableColumn id="16" xr3:uid="{5A02C983-3492-419C-90EF-E4A6733F6C28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1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3" xr:uid="{BAE15D5D-ED01-484D-A4DC-9464298916E7}" name="M_TABLE_11343" displayName="M_TABLE_11343" ref="B23:I45" totalsRowShown="0">
  <autoFilter ref="B23:I45" xr:uid="{BAE15D5D-ED01-484D-A4DC-9464298916E7}"/>
  <tableColumns count="8">
    <tableColumn id="9" xr3:uid="{7ADA87DB-31C0-4DD7-A420-A96AAD2BF5BB}" name="産業中分類上位２０"/>
    <tableColumn id="10" xr3:uid="{30A027A7-1456-4FEA-B990-AACE78EFF23B}" name="総数／事業所数" dataCellStyle="桁区切り"/>
    <tableColumn id="11" xr3:uid="{95898F2D-A30D-4099-9091-7AAF9AC5BD54}" name="総数／構成比" dataDxfId="229"/>
    <tableColumn id="12" xr3:uid="{041D0E1B-2982-4A8D-AA5E-D8058750D21D}" name="個人／事業所数" dataCellStyle="桁区切り"/>
    <tableColumn id="13" xr3:uid="{50EE413B-2B81-4CCC-AC18-19FDD31B67E1}" name="個人／構成比" dataDxfId="228"/>
    <tableColumn id="14" xr3:uid="{E1DEB3C9-457B-442A-8CEF-6FC5D88981F4}" name="法人／事業所数" dataCellStyle="桁区切り"/>
    <tableColumn id="15" xr3:uid="{39263CA5-3B54-4E86-8FAE-2196A9E58FEF}" name="法人／構成比" dataDxfId="227"/>
    <tableColumn id="16" xr3:uid="{4CA7DE08-F62A-4F65-9D25-C2B608E5EB4A}" name="法人以外の団体／事業所数" dataCellStyle="桁区切り"/>
  </tableColumns>
  <tableStyleInfo name="TableStyleMedium9" showFirstColumn="0" showLastColumn="0" showRowStripes="1" showColumnStripes="0"/>
</table>
</file>

<file path=xl/tables/table1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4" xr:uid="{B4AF6DB4-48A6-49BB-A7CA-0C84E0F39811}" name="S_TABLE_11343" displayName="S_TABLE_11343" ref="B48:I69" totalsRowShown="0">
  <autoFilter ref="B48:I69" xr:uid="{B4AF6DB4-48A6-49BB-A7CA-0C84E0F39811}"/>
  <tableColumns count="8">
    <tableColumn id="9" xr3:uid="{4C0FB2C7-1250-4695-B101-5789C9C48361}" name="産業小分類上位２０"/>
    <tableColumn id="10" xr3:uid="{AD504329-DD5F-404B-83AE-4CE252F91BEF}" name="総数／事業所数" dataCellStyle="桁区切り"/>
    <tableColumn id="11" xr3:uid="{CB954024-0A27-4039-BB43-A0FA200D439C}" name="総数／構成比" dataDxfId="226"/>
    <tableColumn id="12" xr3:uid="{128E390F-0B4C-469C-94F9-01715A1F1068}" name="個人／事業所数" dataCellStyle="桁区切り"/>
    <tableColumn id="13" xr3:uid="{A0EC87F4-289C-4765-84ED-C0431CC38C40}" name="個人／構成比" dataDxfId="225"/>
    <tableColumn id="14" xr3:uid="{484EFC66-F396-4C66-9F59-6F5F4BBDD414}" name="法人／事業所数" dataCellStyle="桁区切り"/>
    <tableColumn id="15" xr3:uid="{BE966D95-3C59-42B8-8C48-EBDA5BC18AC3}" name="法人／構成比" dataDxfId="224"/>
    <tableColumn id="16" xr3:uid="{AE6CA3BD-13B4-4150-A9DA-0CC33E82FC04}" name="法人以外の団体／事業所数" dataCellStyle="桁区切り"/>
  </tableColumns>
  <tableStyleInfo name="TableStyleMedium9" showFirstColumn="0" showLastColumn="0" showRowStripes="1" showColumnStripes="0"/>
</table>
</file>

<file path=xl/tables/table1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5" xr:uid="{376AA58F-1CB1-4CC0-A77F-39A799AA9856}" name="LTBL_11346" displayName="LTBL_11346" ref="B4:I20" totalsRowCount="1">
  <autoFilter ref="B4:I19" xr:uid="{376AA58F-1CB1-4CC0-A77F-39A799AA9856}"/>
  <tableColumns count="8">
    <tableColumn id="9" xr3:uid="{659BDE45-A4D2-4C26-8F78-6EBA917B33F8}" name="産業大分類" totalsRowLabel="合計" totalsRowDxfId="223"/>
    <tableColumn id="10" xr3:uid="{EF5B40DF-EFED-4A81-9C87-0705F493A319}" name="総数／事業所数" totalsRowFunction="custom" totalsRowDxfId="222" dataCellStyle="桁区切り" totalsRowCellStyle="桁区切り">
      <totalsRowFormula>SUM(LTBL_11346[総数／事業所数])</totalsRowFormula>
    </tableColumn>
    <tableColumn id="11" xr3:uid="{FF00B851-C8AA-4F86-A822-D712A14665BB}" name="総数／構成比" dataDxfId="221"/>
    <tableColumn id="12" xr3:uid="{8B1DF4A7-7C35-443C-9307-C91C6E7D0206}" name="個人／事業所数" totalsRowFunction="sum" totalsRowDxfId="220" dataCellStyle="桁区切り" totalsRowCellStyle="桁区切り"/>
    <tableColumn id="13" xr3:uid="{62FE2366-7DAC-4348-8934-00771126A310}" name="個人／構成比" dataDxfId="219"/>
    <tableColumn id="14" xr3:uid="{FA3B0CD1-CFC8-40A4-9A9A-D6B90F037178}" name="法人／事業所数" totalsRowFunction="sum" totalsRowDxfId="218" dataCellStyle="桁区切り" totalsRowCellStyle="桁区切り"/>
    <tableColumn id="15" xr3:uid="{13BB65B3-BE0E-4BC9-8D50-0C72BE77BA55}" name="法人／構成比" dataDxfId="217"/>
    <tableColumn id="16" xr3:uid="{8B06FD34-4372-45DF-A149-B6ECACEB76CC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1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6" xr:uid="{772D391A-A166-4775-9DE2-C8E5F8C5F898}" name="M_TABLE_11346" displayName="M_TABLE_11346" ref="B23:I48" totalsRowShown="0">
  <autoFilter ref="B23:I48" xr:uid="{772D391A-A166-4775-9DE2-C8E5F8C5F898}"/>
  <tableColumns count="8">
    <tableColumn id="9" xr3:uid="{0BB1434E-1734-41C6-A3DA-193B1A66D17D}" name="産業中分類上位２０"/>
    <tableColumn id="10" xr3:uid="{78D6F070-D5B7-4338-BBB2-2703EC8BC2B7}" name="総数／事業所数" dataCellStyle="桁区切り"/>
    <tableColumn id="11" xr3:uid="{C22E57DE-8E1D-48E3-BE92-10B571E6A479}" name="総数／構成比" dataDxfId="215"/>
    <tableColumn id="12" xr3:uid="{BCC3A415-3419-4032-8C81-CED889B23619}" name="個人／事業所数" dataCellStyle="桁区切り"/>
    <tableColumn id="13" xr3:uid="{D3753F48-7F1B-412D-ACEC-F909C5D930E2}" name="個人／構成比" dataDxfId="214"/>
    <tableColumn id="14" xr3:uid="{ADCE3529-AEAA-40C3-BFE9-444883BD1C6C}" name="法人／事業所数" dataCellStyle="桁区切り"/>
    <tableColumn id="15" xr3:uid="{577045D9-8592-46A2-8244-7B9681604EB7}" name="法人／構成比" dataDxfId="213"/>
    <tableColumn id="16" xr3:uid="{FF711C33-9F39-47D0-858E-E805AAD5F7ED}" name="法人以外の団体／事業所数" dataCellStyle="桁区切り"/>
  </tableColumns>
  <tableStyleInfo name="TableStyleMedium9" showFirstColumn="0" showLastColumn="0" showRowStripes="1" showColumnStripes="0"/>
</table>
</file>

<file path=xl/tables/table1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7" xr:uid="{0A41D578-8280-477B-8E85-9BD052C51046}" name="S_TABLE_11346" displayName="S_TABLE_11346" ref="B51:I74" totalsRowShown="0">
  <autoFilter ref="B51:I74" xr:uid="{0A41D578-8280-477B-8E85-9BD052C51046}"/>
  <tableColumns count="8">
    <tableColumn id="9" xr3:uid="{459A8DF6-1341-4C48-8621-634A63DF2C6B}" name="産業小分類上位２０"/>
    <tableColumn id="10" xr3:uid="{664F82CE-AA18-47B4-8B50-6EECE8C13F65}" name="総数／事業所数" dataCellStyle="桁区切り"/>
    <tableColumn id="11" xr3:uid="{7FA2390D-2DC3-451B-9B03-28C73150A426}" name="総数／構成比" dataDxfId="212"/>
    <tableColumn id="12" xr3:uid="{C9DF248C-03FF-4C99-B24C-58F710585508}" name="個人／事業所数" dataCellStyle="桁区切り"/>
    <tableColumn id="13" xr3:uid="{D0CB7B13-AD9E-4FB5-BC3F-37520A1A5572}" name="個人／構成比" dataDxfId="211"/>
    <tableColumn id="14" xr3:uid="{CFFE3B83-171F-4E96-9CAF-A0D17ACA8375}" name="法人／事業所数" dataCellStyle="桁区切り"/>
    <tableColumn id="15" xr3:uid="{83EEE203-5343-4E4F-9909-FDACFD0E64DD}" name="法人／構成比" dataDxfId="210"/>
    <tableColumn id="16" xr3:uid="{E7C43D7E-6600-49AB-B4DC-8C65191C6D05}" name="法人以外の団体／事業所数" dataCellStyle="桁区切り"/>
  </tableColumns>
  <tableStyleInfo name="TableStyleMedium9" showFirstColumn="0" showLastColumn="0" showRowStripes="1" showColumnStripes="0"/>
</table>
</file>

<file path=xl/tables/table1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8" xr:uid="{54D9DA6C-2DFA-46E9-B8E5-3A69BB20D496}" name="LTBL_11347" displayName="LTBL_11347" ref="B4:I20" totalsRowCount="1">
  <autoFilter ref="B4:I19" xr:uid="{54D9DA6C-2DFA-46E9-B8E5-3A69BB20D496}"/>
  <tableColumns count="8">
    <tableColumn id="9" xr3:uid="{A7659362-567F-4321-AF71-042E35BAA0EB}" name="産業大分類" totalsRowLabel="合計" totalsRowDxfId="209"/>
    <tableColumn id="10" xr3:uid="{E723E2C9-2412-44D5-BAF4-1B7C9E72BF56}" name="総数／事業所数" totalsRowFunction="custom" totalsRowDxfId="208" dataCellStyle="桁区切り" totalsRowCellStyle="桁区切り">
      <totalsRowFormula>SUM(LTBL_11347[総数／事業所数])</totalsRowFormula>
    </tableColumn>
    <tableColumn id="11" xr3:uid="{0BE55F2F-F6FD-4CED-9A45-270D77BA51AF}" name="総数／構成比" dataDxfId="207"/>
    <tableColumn id="12" xr3:uid="{0C88DC48-E884-4AE7-9300-B554E4F9ED63}" name="個人／事業所数" totalsRowFunction="sum" totalsRowDxfId="206" dataCellStyle="桁区切り" totalsRowCellStyle="桁区切り"/>
    <tableColumn id="13" xr3:uid="{45157AA9-02FF-4725-A0AD-D6EDA0EB6657}" name="個人／構成比" dataDxfId="205"/>
    <tableColumn id="14" xr3:uid="{6BC728E0-0BDB-42C9-B2F5-0209EA4B38A1}" name="法人／事業所数" totalsRowFunction="sum" totalsRowDxfId="204" dataCellStyle="桁区切り" totalsRowCellStyle="桁区切り"/>
    <tableColumn id="15" xr3:uid="{3D523E34-4533-4E5E-BEB8-1149FC0087E4}" name="法人／構成比" dataDxfId="203"/>
    <tableColumn id="16" xr3:uid="{A9A5DD16-3787-4013-A916-CDF04164EA51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1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9" xr:uid="{5C20FA1F-4C4F-461B-BFDE-DB94E8EBFC92}" name="M_TABLE_11347" displayName="M_TABLE_11347" ref="B23:I44" totalsRowShown="0">
  <autoFilter ref="B23:I44" xr:uid="{5C20FA1F-4C4F-461B-BFDE-DB94E8EBFC92}"/>
  <tableColumns count="8">
    <tableColumn id="9" xr3:uid="{071D4EBF-E47A-46D8-8795-46063EC71BF8}" name="産業中分類上位２０"/>
    <tableColumn id="10" xr3:uid="{B69BBF8B-7757-4065-A41E-033D4F03CB8E}" name="総数／事業所数" dataCellStyle="桁区切り"/>
    <tableColumn id="11" xr3:uid="{3FD541C6-3072-46C9-9269-BA3CB8E61AE2}" name="総数／構成比" dataDxfId="201"/>
    <tableColumn id="12" xr3:uid="{3E003DB6-9530-4261-88B8-4F0DAA8775DF}" name="個人／事業所数" dataCellStyle="桁区切り"/>
    <tableColumn id="13" xr3:uid="{0CF45FB1-1437-493A-BFDC-115DC1FED1E9}" name="個人／構成比" dataDxfId="200"/>
    <tableColumn id="14" xr3:uid="{147912A0-6520-450E-938F-38A1EF6F57E0}" name="法人／事業所数" dataCellStyle="桁区切り"/>
    <tableColumn id="15" xr3:uid="{40582DA4-0821-435B-9355-74EE54D4483C}" name="法人／構成比" dataDxfId="199"/>
    <tableColumn id="16" xr3:uid="{8F248486-551D-4137-B18B-B3E8F449AFEC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ACD695DA-117F-4AFF-8E4F-83FEB5D15DAD}" name="S_TABLE_11104" displayName="S_TABLE_11104" ref="B46:I67" totalsRowShown="0">
  <autoFilter ref="B46:I67" xr:uid="{ACD695DA-117F-4AFF-8E4F-83FEB5D15DAD}"/>
  <tableColumns count="8">
    <tableColumn id="9" xr3:uid="{EE9D70A7-522A-41FF-954A-AD1AA901DE8B}" name="産業小分類上位２０"/>
    <tableColumn id="10" xr3:uid="{4A064D5B-D5A2-44AD-A961-74BFE9B0FE59}" name="総数／事業所数" dataCellStyle="桁区切り"/>
    <tableColumn id="11" xr3:uid="{03D17CF9-25E2-4555-B1AB-32F8BB9938B5}" name="総数／構成比" dataDxfId="954"/>
    <tableColumn id="12" xr3:uid="{13C9470F-D27C-4FF9-987B-D8A0D29AC62A}" name="個人／事業所数" dataCellStyle="桁区切り"/>
    <tableColumn id="13" xr3:uid="{ACBF61D5-EF51-4F02-B11A-F74D6D929AF9}" name="個人／構成比" dataDxfId="953"/>
    <tableColumn id="14" xr3:uid="{26199EF1-A398-4D35-A875-7A20CDD172FF}" name="法人／事業所数" dataCellStyle="桁区切り"/>
    <tableColumn id="15" xr3:uid="{964FD4D9-0938-4F13-98FF-83BC94398427}" name="法人／構成比" dataDxfId="952"/>
    <tableColumn id="16" xr3:uid="{2D3B911D-6A87-4F02-BC0E-53F5E6816E4F}" name="法人以外の団体／事業所数" dataCellStyle="桁区切り"/>
  </tableColumns>
  <tableStyleInfo name="TableStyleMedium9" showFirstColumn="0" showLastColumn="0" showRowStripes="1" showColumnStripes="0"/>
</table>
</file>

<file path=xl/tables/table1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0" xr:uid="{7112206B-E9C9-49E8-978E-1DCD1D9BC07C}" name="S_TABLE_11347" displayName="S_TABLE_11347" ref="B47:I68" totalsRowShown="0">
  <autoFilter ref="B47:I68" xr:uid="{7112206B-E9C9-49E8-978E-1DCD1D9BC07C}"/>
  <tableColumns count="8">
    <tableColumn id="9" xr3:uid="{9FFC49BC-209D-4A34-B041-7D1B266887E0}" name="産業小分類上位２０"/>
    <tableColumn id="10" xr3:uid="{69E34B29-37DE-4CAE-B8A7-5F8D8080AF2E}" name="総数／事業所数" dataCellStyle="桁区切り"/>
    <tableColumn id="11" xr3:uid="{AB599687-23C0-49EB-B7AB-8AE888E0EA3F}" name="総数／構成比" dataDxfId="198"/>
    <tableColumn id="12" xr3:uid="{F6E064D8-D505-4895-B1FE-CFE34B5AF2DA}" name="個人／事業所数" dataCellStyle="桁区切り"/>
    <tableColumn id="13" xr3:uid="{E9CA92BE-6E57-4A17-9835-0EC610C1C323}" name="個人／構成比" dataDxfId="197"/>
    <tableColumn id="14" xr3:uid="{D976B01D-57C6-401B-9885-D6FA95ED9876}" name="法人／事業所数" dataCellStyle="桁区切り"/>
    <tableColumn id="15" xr3:uid="{D4873316-CB16-4274-A09B-98658127314A}" name="法人／構成比" dataDxfId="196"/>
    <tableColumn id="16" xr3:uid="{3C9FB19B-007A-49C4-A262-17376E946B62}" name="法人以外の団体／事業所数" dataCellStyle="桁区切り"/>
  </tableColumns>
  <tableStyleInfo name="TableStyleMedium9" showFirstColumn="0" showLastColumn="0" showRowStripes="1" showColumnStripes="0"/>
</table>
</file>

<file path=xl/tables/table1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1" xr:uid="{0B384A63-18CA-460F-9920-3F4243EAF022}" name="LTBL_11348" displayName="LTBL_11348" ref="B4:I20" totalsRowCount="1">
  <autoFilter ref="B4:I19" xr:uid="{0B384A63-18CA-460F-9920-3F4243EAF022}"/>
  <tableColumns count="8">
    <tableColumn id="9" xr3:uid="{11EFB889-3806-420B-BF6D-7EF0F7BADED1}" name="産業大分類" totalsRowLabel="合計" totalsRowDxfId="195"/>
    <tableColumn id="10" xr3:uid="{BC6F81F4-8AD3-4DD1-8F81-F38997FC4EF3}" name="総数／事業所数" totalsRowFunction="custom" totalsRowDxfId="194" dataCellStyle="桁区切り" totalsRowCellStyle="桁区切り">
      <totalsRowFormula>SUM(LTBL_11348[総数／事業所数])</totalsRowFormula>
    </tableColumn>
    <tableColumn id="11" xr3:uid="{379CB328-780E-4F80-8230-F614AEA00AD7}" name="総数／構成比" dataDxfId="193"/>
    <tableColumn id="12" xr3:uid="{9C210ABF-BCA0-4275-B58B-97631D3F867C}" name="個人／事業所数" totalsRowFunction="sum" totalsRowDxfId="192" dataCellStyle="桁区切り" totalsRowCellStyle="桁区切り"/>
    <tableColumn id="13" xr3:uid="{78DAC343-B57B-4AA6-89A9-3A39861EB1B0}" name="個人／構成比" dataDxfId="191"/>
    <tableColumn id="14" xr3:uid="{F8CCA9B0-CAE0-4D59-A2B7-F6A985A9C721}" name="法人／事業所数" totalsRowFunction="sum" totalsRowDxfId="190" dataCellStyle="桁区切り" totalsRowCellStyle="桁区切り"/>
    <tableColumn id="15" xr3:uid="{74FB4118-65C5-440F-9370-5DFB8F4D9828}" name="法人／構成比" dataDxfId="189"/>
    <tableColumn id="16" xr3:uid="{3FCC1FC3-36F9-477C-B255-427F9460BFB0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1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2" xr:uid="{780BAA89-CA74-4BF7-A8F2-D557A4E8D288}" name="M_TABLE_11348" displayName="M_TABLE_11348" ref="B23:I44" totalsRowShown="0">
  <autoFilter ref="B23:I44" xr:uid="{780BAA89-CA74-4BF7-A8F2-D557A4E8D288}"/>
  <tableColumns count="8">
    <tableColumn id="9" xr3:uid="{232F8033-D9DE-4DC8-BAC4-2331553AF3F9}" name="産業中分類上位２０"/>
    <tableColumn id="10" xr3:uid="{3DB8B70C-23C0-4833-9D2C-8F964F68A6E9}" name="総数／事業所数" dataCellStyle="桁区切り"/>
    <tableColumn id="11" xr3:uid="{0AD04761-546A-43E9-9647-0A29AA381CA4}" name="総数／構成比" dataDxfId="187"/>
    <tableColumn id="12" xr3:uid="{428F7CC9-F989-4691-AA7C-31B62D143DFB}" name="個人／事業所数" dataCellStyle="桁区切り"/>
    <tableColumn id="13" xr3:uid="{0D90BEA7-DCC1-4A7B-9017-7BC702111CA3}" name="個人／構成比" dataDxfId="186"/>
    <tableColumn id="14" xr3:uid="{7362D9B8-830A-4DA5-B7F1-152D473C5316}" name="法人／事業所数" dataCellStyle="桁区切り"/>
    <tableColumn id="15" xr3:uid="{34FD6211-1E12-47C0-BDF8-A27C759DC280}" name="法人／構成比" dataDxfId="185"/>
    <tableColumn id="16" xr3:uid="{6E7A723B-FB11-4509-AFBE-BF0BBD583388}" name="法人以外の団体／事業所数" dataCellStyle="桁区切り"/>
  </tableColumns>
  <tableStyleInfo name="TableStyleMedium9" showFirstColumn="0" showLastColumn="0" showRowStripes="1" showColumnStripes="0"/>
</table>
</file>

<file path=xl/tables/table1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3" xr:uid="{3CF93734-C104-4395-A95D-A998A4E5ADA7}" name="S_TABLE_11348" displayName="S_TABLE_11348" ref="B47:I70" totalsRowShown="0">
  <autoFilter ref="B47:I70" xr:uid="{3CF93734-C104-4395-A95D-A998A4E5ADA7}"/>
  <tableColumns count="8">
    <tableColumn id="9" xr3:uid="{6BE3DBCC-6900-4055-9342-870512AEA12B}" name="産業小分類上位２０"/>
    <tableColumn id="10" xr3:uid="{E24E6952-A9F0-4887-AB2C-474FA2294FBC}" name="総数／事業所数" dataCellStyle="桁区切り"/>
    <tableColumn id="11" xr3:uid="{D8D06267-A3B6-4DB1-AB0C-7D248DDEB32E}" name="総数／構成比" dataDxfId="184"/>
    <tableColumn id="12" xr3:uid="{F3B103C3-6AE1-4060-BDA2-A037A5347E2B}" name="個人／事業所数" dataCellStyle="桁区切り"/>
    <tableColumn id="13" xr3:uid="{48A20C25-E368-4173-9801-BFF037CBB31B}" name="個人／構成比" dataDxfId="183"/>
    <tableColumn id="14" xr3:uid="{B093E929-7B1C-499A-B45E-72D9769D51D5}" name="法人／事業所数" dataCellStyle="桁区切り"/>
    <tableColumn id="15" xr3:uid="{BE4986C9-2763-4393-A2AD-52719C6FF58C}" name="法人／構成比" dataDxfId="182"/>
    <tableColumn id="16" xr3:uid="{3D2DA142-13F8-4049-BA20-3001C2E1BB41}" name="法人以外の団体／事業所数" dataCellStyle="桁区切り"/>
  </tableColumns>
  <tableStyleInfo name="TableStyleMedium9" showFirstColumn="0" showLastColumn="0" showRowStripes="1" showColumnStripes="0"/>
</table>
</file>

<file path=xl/tables/table1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4" xr:uid="{4F2FF362-3678-47A5-AAEA-73C2FB0B2D3B}" name="LTBL_11349" displayName="LTBL_11349" ref="B4:I20" totalsRowCount="1">
  <autoFilter ref="B4:I19" xr:uid="{4F2FF362-3678-47A5-AAEA-73C2FB0B2D3B}"/>
  <tableColumns count="8">
    <tableColumn id="9" xr3:uid="{591A65F0-B6C6-4911-9B3D-B266CB9F9C60}" name="産業大分類" totalsRowLabel="合計" totalsRowDxfId="181"/>
    <tableColumn id="10" xr3:uid="{67B4EA7E-21B0-4C5C-9AE6-472EF1769092}" name="総数／事業所数" totalsRowFunction="custom" totalsRowDxfId="180" dataCellStyle="桁区切り" totalsRowCellStyle="桁区切り">
      <totalsRowFormula>SUM(LTBL_11349[総数／事業所数])</totalsRowFormula>
    </tableColumn>
    <tableColumn id="11" xr3:uid="{42F4650E-2DA5-4518-808C-94D5FF2D1E4E}" name="総数／構成比" dataDxfId="179"/>
    <tableColumn id="12" xr3:uid="{8E49A504-7D9D-4925-AE8A-E99275EDFD42}" name="個人／事業所数" totalsRowFunction="sum" totalsRowDxfId="178" dataCellStyle="桁区切り" totalsRowCellStyle="桁区切り"/>
    <tableColumn id="13" xr3:uid="{4AC7CE83-E8F5-42C5-A506-9304AD9E286C}" name="個人／構成比" dataDxfId="177"/>
    <tableColumn id="14" xr3:uid="{0C5B7DBD-C029-4892-951F-073798EC31E2}" name="法人／事業所数" totalsRowFunction="sum" totalsRowDxfId="176" dataCellStyle="桁区切り" totalsRowCellStyle="桁区切り"/>
    <tableColumn id="15" xr3:uid="{72E609EE-32C1-4183-BC71-D51A8E83FF4C}" name="法人／構成比" dataDxfId="175"/>
    <tableColumn id="16" xr3:uid="{A5456F5A-3F0B-43E8-8896-21A338DCBCE7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1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5" xr:uid="{141BC581-1A46-41E6-97B4-AB5BE791FAB1}" name="M_TABLE_11349" displayName="M_TABLE_11349" ref="B23:I44" totalsRowShown="0">
  <autoFilter ref="B23:I44" xr:uid="{141BC581-1A46-41E6-97B4-AB5BE791FAB1}"/>
  <tableColumns count="8">
    <tableColumn id="9" xr3:uid="{14EAFC15-9F3D-4E05-854D-DD93404FC281}" name="産業中分類上位２０"/>
    <tableColumn id="10" xr3:uid="{BBBB32E4-C52F-4288-98AD-B6BE5BC44116}" name="総数／事業所数" dataCellStyle="桁区切り"/>
    <tableColumn id="11" xr3:uid="{F4999813-C460-4816-90B3-0054FAA8E722}" name="総数／構成比" dataDxfId="173"/>
    <tableColumn id="12" xr3:uid="{C9120960-2E0F-4E9D-AA63-76B5D77440D8}" name="個人／事業所数" dataCellStyle="桁区切り"/>
    <tableColumn id="13" xr3:uid="{FC87A37C-D6EB-4D5B-94EB-88FB558FF918}" name="個人／構成比" dataDxfId="172"/>
    <tableColumn id="14" xr3:uid="{CFB29E96-DB04-42F3-82AA-EE19FC99DDB6}" name="法人／事業所数" dataCellStyle="桁区切り"/>
    <tableColumn id="15" xr3:uid="{9D12B5F3-92F5-414D-81FB-3081605776B7}" name="法人／構成比" dataDxfId="171"/>
    <tableColumn id="16" xr3:uid="{A205F487-E249-4CB1-A879-7777970BC8CE}" name="法人以外の団体／事業所数" dataCellStyle="桁区切り"/>
  </tableColumns>
  <tableStyleInfo name="TableStyleMedium9" showFirstColumn="0" showLastColumn="0" showRowStripes="1" showColumnStripes="0"/>
</table>
</file>

<file path=xl/tables/table1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6" xr:uid="{28EE7C67-A2F9-4416-B99B-F40600A78F75}" name="S_TABLE_11349" displayName="S_TABLE_11349" ref="B47:I71" totalsRowShown="0">
  <autoFilter ref="B47:I71" xr:uid="{28EE7C67-A2F9-4416-B99B-F40600A78F75}"/>
  <tableColumns count="8">
    <tableColumn id="9" xr3:uid="{005E9E29-B8D5-4158-8DCA-E5739F4E1380}" name="産業小分類上位２０"/>
    <tableColumn id="10" xr3:uid="{8EA84E64-8E64-49F0-B34A-5969CAD85EF5}" name="総数／事業所数" dataCellStyle="桁区切り"/>
    <tableColumn id="11" xr3:uid="{68E782BB-B206-48BE-A6AF-F4AAD0AB5ED4}" name="総数／構成比" dataDxfId="170"/>
    <tableColumn id="12" xr3:uid="{6EF574C5-F741-4BE6-B4D3-BF7AA400F886}" name="個人／事業所数" dataCellStyle="桁区切り"/>
    <tableColumn id="13" xr3:uid="{394CB430-4B3F-4AEC-B49D-D8B117C16CE9}" name="個人／構成比" dataDxfId="169"/>
    <tableColumn id="14" xr3:uid="{F9720BB0-C080-4BF0-BCAA-D6320E2CD286}" name="法人／事業所数" dataCellStyle="桁区切り"/>
    <tableColumn id="15" xr3:uid="{365942EB-5A74-449F-A749-DF56E1DAD4C9}" name="法人／構成比" dataDxfId="168"/>
    <tableColumn id="16" xr3:uid="{61D761A2-146D-41DA-A7E8-28211E15D2C5}" name="法人以外の団体／事業所数" dataCellStyle="桁区切り"/>
  </tableColumns>
  <tableStyleInfo name="TableStyleMedium9" showFirstColumn="0" showLastColumn="0" showRowStripes="1" showColumnStripes="0"/>
</table>
</file>

<file path=xl/tables/table1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7" xr:uid="{450DA727-160B-448C-8AD3-D65797F306A9}" name="LTBL_11361" displayName="LTBL_11361" ref="B4:I20" totalsRowCount="1">
  <autoFilter ref="B4:I19" xr:uid="{450DA727-160B-448C-8AD3-D65797F306A9}"/>
  <tableColumns count="8">
    <tableColumn id="9" xr3:uid="{D6323A19-BBDA-4045-A932-B5D572C876FC}" name="産業大分類" totalsRowLabel="合計" totalsRowDxfId="167"/>
    <tableColumn id="10" xr3:uid="{E9A9F885-4DFA-436F-BA13-CBF484938836}" name="総数／事業所数" totalsRowFunction="custom" totalsRowDxfId="166" dataCellStyle="桁区切り" totalsRowCellStyle="桁区切り">
      <totalsRowFormula>SUM(LTBL_11361[総数／事業所数])</totalsRowFormula>
    </tableColumn>
    <tableColumn id="11" xr3:uid="{69BBFC0F-52DC-43E4-B1B0-BCAF24D85F2D}" name="総数／構成比" dataDxfId="165"/>
    <tableColumn id="12" xr3:uid="{903455E3-6AF2-48E2-87D7-DF48FD202EC7}" name="個人／事業所数" totalsRowFunction="sum" totalsRowDxfId="164" dataCellStyle="桁区切り" totalsRowCellStyle="桁区切り"/>
    <tableColumn id="13" xr3:uid="{740D674D-F6C8-4744-8230-7E6B2A299D5D}" name="個人／構成比" dataDxfId="163"/>
    <tableColumn id="14" xr3:uid="{4660D0CA-9BD6-445F-A921-E209C27D510A}" name="法人／事業所数" totalsRowFunction="sum" totalsRowDxfId="162" dataCellStyle="桁区切り" totalsRowCellStyle="桁区切り"/>
    <tableColumn id="15" xr3:uid="{9682D009-1892-4CFF-B670-681DCBF2BF1B}" name="法人／構成比" dataDxfId="161"/>
    <tableColumn id="16" xr3:uid="{EF21ED2A-C1C4-42EF-995A-6F4DC7F73E02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1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8" xr:uid="{13C1185B-9CD9-4A2A-A8E3-A61C971DC6A0}" name="M_TABLE_11361" displayName="M_TABLE_11361" ref="B23:I44" totalsRowShown="0">
  <autoFilter ref="B23:I44" xr:uid="{13C1185B-9CD9-4A2A-A8E3-A61C971DC6A0}"/>
  <tableColumns count="8">
    <tableColumn id="9" xr3:uid="{619F4219-E810-49BB-A2FC-FC21CC290C71}" name="産業中分類上位２０"/>
    <tableColumn id="10" xr3:uid="{4E6BC8CA-8AEA-444A-9DB5-8626027663A5}" name="総数／事業所数" dataCellStyle="桁区切り"/>
    <tableColumn id="11" xr3:uid="{590F3DD1-6573-41A8-801C-A00DE4999AEC}" name="総数／構成比" dataDxfId="159"/>
    <tableColumn id="12" xr3:uid="{57E4BADA-F511-4AC0-9FC4-3954E265B913}" name="個人／事業所数" dataCellStyle="桁区切り"/>
    <tableColumn id="13" xr3:uid="{102321F8-699F-4589-9C7D-68C4DB81313A}" name="個人／構成比" dataDxfId="158"/>
    <tableColumn id="14" xr3:uid="{840B44EB-B5F0-4CB5-BD1D-AE8EC81F4F7F}" name="法人／事業所数" dataCellStyle="桁区切り"/>
    <tableColumn id="15" xr3:uid="{4F9C4729-0432-4273-A741-5DD96EB3C446}" name="法人／構成比" dataDxfId="157"/>
    <tableColumn id="16" xr3:uid="{2A550ACA-BC82-43D0-BC6F-87A73DD9F4D9}" name="法人以外の団体／事業所数" dataCellStyle="桁区切り"/>
  </tableColumns>
  <tableStyleInfo name="TableStyleMedium9" showFirstColumn="0" showLastColumn="0" showRowStripes="1" showColumnStripes="0"/>
</table>
</file>

<file path=xl/tables/table1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9" xr:uid="{4450686E-1F8E-43E4-86A6-1BD28CB4D6B2}" name="S_TABLE_11361" displayName="S_TABLE_11361" ref="B47:I68" totalsRowShown="0">
  <autoFilter ref="B47:I68" xr:uid="{4450686E-1F8E-43E4-86A6-1BD28CB4D6B2}"/>
  <tableColumns count="8">
    <tableColumn id="9" xr3:uid="{0F2211C4-A005-48CE-B91C-2D9EC11DF748}" name="産業小分類上位２０"/>
    <tableColumn id="10" xr3:uid="{51E16382-21CB-4A52-8236-72FDC52CB48D}" name="総数／事業所数" dataCellStyle="桁区切り"/>
    <tableColumn id="11" xr3:uid="{2F010538-D4C5-4C98-89D6-63892B587FE3}" name="総数／構成比" dataDxfId="156"/>
    <tableColumn id="12" xr3:uid="{97564967-7B52-4F62-A703-E1232EB9F18A}" name="個人／事業所数" dataCellStyle="桁区切り"/>
    <tableColumn id="13" xr3:uid="{FE22C49A-D1E1-4167-840E-E863DA530E9D}" name="個人／構成比" dataDxfId="155"/>
    <tableColumn id="14" xr3:uid="{C04F4602-CBFF-4DD1-BA50-FEE2B6ED7789}" name="法人／事業所数" dataCellStyle="桁区切り"/>
    <tableColumn id="15" xr3:uid="{51DDAD5A-2BAD-410D-B088-A64020AA93D6}" name="法人／構成比" dataDxfId="154"/>
    <tableColumn id="16" xr3:uid="{6B0ECE22-016B-4283-876C-89B451F018CC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D7A3AD29-C06D-4354-B1AE-45B125C5A0A0}" name="LTBL_11105" displayName="LTBL_11105" ref="B4:I20" totalsRowCount="1">
  <autoFilter ref="B4:I19" xr:uid="{D7A3AD29-C06D-4354-B1AE-45B125C5A0A0}"/>
  <tableColumns count="8">
    <tableColumn id="9" xr3:uid="{2DB34C60-6E22-4D68-9C74-65EC64FA96E2}" name="産業大分類" totalsRowLabel="合計" totalsRowDxfId="951"/>
    <tableColumn id="10" xr3:uid="{CF66DE57-B72A-4164-B367-4FA3B7D5B85F}" name="総数／事業所数" totalsRowFunction="custom" totalsRowDxfId="950" dataCellStyle="桁区切り" totalsRowCellStyle="桁区切り">
      <totalsRowFormula>SUM(LTBL_11105[総数／事業所数])</totalsRowFormula>
    </tableColumn>
    <tableColumn id="11" xr3:uid="{F083F860-6C93-4BE1-A67F-AC4ECA8390EA}" name="総数／構成比" dataDxfId="949"/>
    <tableColumn id="12" xr3:uid="{7CBEFA83-EF48-442F-B310-B6D8B380B84A}" name="個人／事業所数" totalsRowFunction="sum" totalsRowDxfId="948" dataCellStyle="桁区切り" totalsRowCellStyle="桁区切り"/>
    <tableColumn id="13" xr3:uid="{2DA7F967-EE6A-45A5-90FB-82B4D2F3F650}" name="個人／構成比" dataDxfId="947"/>
    <tableColumn id="14" xr3:uid="{521A462E-E942-41C4-B9AE-F2D23FA7EA24}" name="法人／事業所数" totalsRowFunction="sum" totalsRowDxfId="946" dataCellStyle="桁区切り" totalsRowCellStyle="桁区切り"/>
    <tableColumn id="15" xr3:uid="{28D9CEC2-75BB-4167-94FF-4FF9A602B895}" name="法人／構成比" dataDxfId="945"/>
    <tableColumn id="16" xr3:uid="{2A69E269-5F67-4E23-8E58-586B879F0193}" name="法人以外の団体／事業所数" totalsRowFunction="sum" totalsRowDxfId="944" dataCellStyle="桁区切り" totalsRowCellStyle="桁区切り"/>
  </tableColumns>
  <tableStyleInfo name="TableStyleMedium9" showFirstColumn="0" showLastColumn="0" showRowStripes="1" showColumnStripes="0"/>
</table>
</file>

<file path=xl/tables/table1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0" xr:uid="{4D37F8DB-58C6-404A-BC27-43238CA56683}" name="LTBL_11362" displayName="LTBL_11362" ref="B4:I20" totalsRowCount="1">
  <autoFilter ref="B4:I19" xr:uid="{4D37F8DB-58C6-404A-BC27-43238CA56683}"/>
  <tableColumns count="8">
    <tableColumn id="9" xr3:uid="{2DE22091-98AA-4909-BB89-9D5D13EFC935}" name="産業大分類" totalsRowLabel="合計" totalsRowDxfId="153"/>
    <tableColumn id="10" xr3:uid="{31D84FBF-6F66-4DF6-A8E7-D042B79F39C1}" name="総数／事業所数" totalsRowFunction="custom" totalsRowDxfId="152" dataCellStyle="桁区切り" totalsRowCellStyle="桁区切り">
      <totalsRowFormula>SUM(LTBL_11362[総数／事業所数])</totalsRowFormula>
    </tableColumn>
    <tableColumn id="11" xr3:uid="{D66AD3E3-02DD-4F5C-9E0C-6057DEDBE37D}" name="総数／構成比" dataDxfId="151"/>
    <tableColumn id="12" xr3:uid="{43D6E676-52E1-415D-9BCD-802C1E4370F5}" name="個人／事業所数" totalsRowFunction="sum" totalsRowDxfId="150" dataCellStyle="桁区切り" totalsRowCellStyle="桁区切り"/>
    <tableColumn id="13" xr3:uid="{72B7A37C-D05C-43DB-AFFF-83A47E74FB80}" name="個人／構成比" dataDxfId="149"/>
    <tableColumn id="14" xr3:uid="{13FF4ADD-4755-4B0C-9704-55270BD79AAF}" name="法人／事業所数" totalsRowFunction="sum" totalsRowDxfId="148" dataCellStyle="桁区切り" totalsRowCellStyle="桁区切り"/>
    <tableColumn id="15" xr3:uid="{A7B4FCA8-1AC3-4A64-A3AB-9DBE649E4D17}" name="法人／構成比" dataDxfId="147"/>
    <tableColumn id="16" xr3:uid="{6429469D-3144-477D-8FF2-6D91DE391A25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1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1" xr:uid="{75B00D4C-922E-4F19-84B0-DA6B27F1E7BF}" name="M_TABLE_11362" displayName="M_TABLE_11362" ref="B23:I49" totalsRowShown="0">
  <autoFilter ref="B23:I49" xr:uid="{75B00D4C-922E-4F19-84B0-DA6B27F1E7BF}"/>
  <tableColumns count="8">
    <tableColumn id="9" xr3:uid="{372454D3-7488-4131-B092-01602DAC9820}" name="産業中分類上位２０"/>
    <tableColumn id="10" xr3:uid="{5A2387EB-E350-494B-90C9-1CA697C9AB9A}" name="総数／事業所数" dataCellStyle="桁区切り"/>
    <tableColumn id="11" xr3:uid="{5071AAA9-45AA-43D5-B273-6CECBAFB06A0}" name="総数／構成比" dataDxfId="145"/>
    <tableColumn id="12" xr3:uid="{7F3BA286-CA6A-49CD-9F2F-AFE4D0FDBCF3}" name="個人／事業所数" dataCellStyle="桁区切り"/>
    <tableColumn id="13" xr3:uid="{983AF2CA-EA8E-4F0A-8FF8-D5125CA62759}" name="個人／構成比" dataDxfId="144"/>
    <tableColumn id="14" xr3:uid="{E6CF13CD-1F72-440D-B8E1-966BA6C7F2BD}" name="法人／事業所数" dataCellStyle="桁区切り"/>
    <tableColumn id="15" xr3:uid="{9CDAAEF5-D490-4434-AD77-FC9417D80779}" name="法人／構成比" dataDxfId="143"/>
    <tableColumn id="16" xr3:uid="{DBE3E231-1C57-4F0A-994E-BDD44FFEC61E}" name="法人以外の団体／事業所数" dataCellStyle="桁区切り"/>
  </tableColumns>
  <tableStyleInfo name="TableStyleMedium9" showFirstColumn="0" showLastColumn="0" showRowStripes="1" showColumnStripes="0"/>
</table>
</file>

<file path=xl/tables/table1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2" xr:uid="{6C2E12BA-903D-470A-AE19-77D06A2E7AAB}" name="S_TABLE_11362" displayName="S_TABLE_11362" ref="B52:I76" totalsRowShown="0">
  <autoFilter ref="B52:I76" xr:uid="{6C2E12BA-903D-470A-AE19-77D06A2E7AAB}"/>
  <tableColumns count="8">
    <tableColumn id="9" xr3:uid="{A0389A19-0F8A-4D66-BA7E-6DB8EEB0B3DA}" name="産業小分類上位２０"/>
    <tableColumn id="10" xr3:uid="{53B7F146-48A4-4BAD-9479-65A0320FC19B}" name="総数／事業所数" dataCellStyle="桁区切り"/>
    <tableColumn id="11" xr3:uid="{26A2785D-2851-41B1-BE83-6D7F8D8E7FDF}" name="総数／構成比" dataDxfId="142"/>
    <tableColumn id="12" xr3:uid="{4EFB393F-73DF-4D3F-BDB6-055CF53908D6}" name="個人／事業所数" dataCellStyle="桁区切り"/>
    <tableColumn id="13" xr3:uid="{CBAAD3D5-6D51-4115-A788-5C66AA183C9B}" name="個人／構成比" dataDxfId="141"/>
    <tableColumn id="14" xr3:uid="{E1E2CA5B-30DF-476C-A5F0-AAA1C75673A1}" name="法人／事業所数" dataCellStyle="桁区切り"/>
    <tableColumn id="15" xr3:uid="{9E29E6DF-9A0A-407E-AC3F-939656F51024}" name="法人／構成比" dataDxfId="140"/>
    <tableColumn id="16" xr3:uid="{9C13B49E-4B42-4C44-9741-82C98F08B5C1}" name="法人以外の団体／事業所数" dataCellStyle="桁区切り"/>
  </tableColumns>
  <tableStyleInfo name="TableStyleMedium9" showFirstColumn="0" showLastColumn="0" showRowStripes="1" showColumnStripes="0"/>
</table>
</file>

<file path=xl/tables/table1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3" xr:uid="{5C0D0004-9685-48B3-83B0-10B944808994}" name="LTBL_11363" displayName="LTBL_11363" ref="B4:I20" totalsRowCount="1">
  <autoFilter ref="B4:I19" xr:uid="{5C0D0004-9685-48B3-83B0-10B944808994}"/>
  <tableColumns count="8">
    <tableColumn id="9" xr3:uid="{F0D2ACB9-E599-4489-9A5F-53EBBB2608D9}" name="産業大分類" totalsRowLabel="合計" totalsRowDxfId="139"/>
    <tableColumn id="10" xr3:uid="{DCEBFF38-8E70-407E-BB7F-3D56D8EF72CD}" name="総数／事業所数" totalsRowFunction="custom" totalsRowDxfId="138" dataCellStyle="桁区切り" totalsRowCellStyle="桁区切り">
      <totalsRowFormula>SUM(LTBL_11363[総数／事業所数])</totalsRowFormula>
    </tableColumn>
    <tableColumn id="11" xr3:uid="{65475B44-FC50-4BE9-9F9F-8557EC6B7124}" name="総数／構成比" dataDxfId="137"/>
    <tableColumn id="12" xr3:uid="{D4ADA048-7AE5-41C9-BDD1-1123A820B56B}" name="個人／事業所数" totalsRowFunction="sum" totalsRowDxfId="136" dataCellStyle="桁区切り" totalsRowCellStyle="桁区切り"/>
    <tableColumn id="13" xr3:uid="{C574268F-F1B3-4266-B05D-9067F3BF5EFC}" name="個人／構成比" dataDxfId="135"/>
    <tableColumn id="14" xr3:uid="{22F69FBA-00C4-4D36-8F57-6E0F2B3A1242}" name="法人／事業所数" totalsRowFunction="sum" totalsRowDxfId="134" dataCellStyle="桁区切り" totalsRowCellStyle="桁区切り"/>
    <tableColumn id="15" xr3:uid="{EDE0ACBC-A1B3-4339-A30E-489ADEA505A9}" name="法人／構成比" dataDxfId="133"/>
    <tableColumn id="16" xr3:uid="{8CB6BC4D-AB32-4039-96BE-843E996C6C05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1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4" xr:uid="{1FF4B47E-84D9-4F35-9F7F-BAFA807551C8}" name="M_TABLE_11363" displayName="M_TABLE_11363" ref="B23:I44" totalsRowShown="0">
  <autoFilter ref="B23:I44" xr:uid="{1FF4B47E-84D9-4F35-9F7F-BAFA807551C8}"/>
  <tableColumns count="8">
    <tableColumn id="9" xr3:uid="{FB7ED2A6-E7CC-4E8A-B112-3A33252A5C9B}" name="産業中分類上位２０"/>
    <tableColumn id="10" xr3:uid="{DA7C2B26-B9A8-4FA5-B6DE-304DB0C33A46}" name="総数／事業所数" dataCellStyle="桁区切り"/>
    <tableColumn id="11" xr3:uid="{2203BAA7-CAED-431F-98FD-C465C0023892}" name="総数／構成比" dataDxfId="131"/>
    <tableColumn id="12" xr3:uid="{98B057D2-E4C9-4845-BE22-90BDF41EAA97}" name="個人／事業所数" dataCellStyle="桁区切り"/>
    <tableColumn id="13" xr3:uid="{1924A456-A482-4B8D-BF96-0F56A389D19B}" name="個人／構成比" dataDxfId="130"/>
    <tableColumn id="14" xr3:uid="{5EC06196-9891-4909-A4CE-DC1025ED7594}" name="法人／事業所数" dataCellStyle="桁区切り"/>
    <tableColumn id="15" xr3:uid="{88F6B848-F536-49AC-947A-EC20AE280761}" name="法人／構成比" dataDxfId="129"/>
    <tableColumn id="16" xr3:uid="{9E8E4CEB-0F16-44CC-95DC-DD244B33705E}" name="法人以外の団体／事業所数" dataCellStyle="桁区切り"/>
  </tableColumns>
  <tableStyleInfo name="TableStyleMedium9" showFirstColumn="0" showLastColumn="0" showRowStripes="1" showColumnStripes="0"/>
</table>
</file>

<file path=xl/tables/table1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5" xr:uid="{79C6835C-7168-4B8D-A945-5A6EABA7E17F}" name="S_TABLE_11363" displayName="S_TABLE_11363" ref="B47:I69" totalsRowShown="0">
  <autoFilter ref="B47:I69" xr:uid="{79C6835C-7168-4B8D-A945-5A6EABA7E17F}"/>
  <tableColumns count="8">
    <tableColumn id="9" xr3:uid="{B76A0B75-00E4-4CD2-989B-490A4C83985E}" name="産業小分類上位２０"/>
    <tableColumn id="10" xr3:uid="{4E46C042-5758-45F3-A874-CF4461066485}" name="総数／事業所数" dataCellStyle="桁区切り"/>
    <tableColumn id="11" xr3:uid="{AB889CD1-BBE0-4709-99D9-DF14FC775905}" name="総数／構成比" dataDxfId="128"/>
    <tableColumn id="12" xr3:uid="{3388E0C8-1778-4E8B-8FE2-B43159BFB721}" name="個人／事業所数" dataCellStyle="桁区切り"/>
    <tableColumn id="13" xr3:uid="{006F8A3E-E0EC-44BA-AD4F-20693DC3407D}" name="個人／構成比" dataDxfId="127"/>
    <tableColumn id="14" xr3:uid="{42954573-0751-4F0C-9C12-661E10E4F0A0}" name="法人／事業所数" dataCellStyle="桁区切り"/>
    <tableColumn id="15" xr3:uid="{A8072886-5AAA-46BE-9A8D-0C944916DE0F}" name="法人／構成比" dataDxfId="126"/>
    <tableColumn id="16" xr3:uid="{203A4160-4D0C-491C-94EC-DB8D1721866C}" name="法人以外の団体／事業所数" dataCellStyle="桁区切り"/>
  </tableColumns>
  <tableStyleInfo name="TableStyleMedium9" showFirstColumn="0" showLastColumn="0" showRowStripes="1" showColumnStripes="0"/>
</table>
</file>

<file path=xl/tables/table1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6" xr:uid="{B8A819ED-CA4D-49BD-82DA-5EE7F3EA89E0}" name="LTBL_11365" displayName="LTBL_11365" ref="B4:I20" totalsRowCount="1">
  <autoFilter ref="B4:I19" xr:uid="{B8A819ED-CA4D-49BD-82DA-5EE7F3EA89E0}"/>
  <tableColumns count="8">
    <tableColumn id="9" xr3:uid="{42BD9979-5217-46DF-899E-F3317E29E564}" name="産業大分類" totalsRowLabel="合計" totalsRowDxfId="125"/>
    <tableColumn id="10" xr3:uid="{1393E2FB-6877-4E96-9519-603E9D138F6A}" name="総数／事業所数" totalsRowFunction="custom" totalsRowDxfId="124" dataCellStyle="桁区切り" totalsRowCellStyle="桁区切り">
      <totalsRowFormula>SUM(LTBL_11365[総数／事業所数])</totalsRowFormula>
    </tableColumn>
    <tableColumn id="11" xr3:uid="{73D90A9D-5B68-41A9-952A-2599C09A4D18}" name="総数／構成比" dataDxfId="123"/>
    <tableColumn id="12" xr3:uid="{871AD9AB-FCD0-4EDF-AB12-10E386B263D5}" name="個人／事業所数" totalsRowFunction="sum" totalsRowDxfId="122" dataCellStyle="桁区切り" totalsRowCellStyle="桁区切り"/>
    <tableColumn id="13" xr3:uid="{9C4A2951-8F9F-47DA-9813-704B55DCC2A8}" name="個人／構成比" dataDxfId="121"/>
    <tableColumn id="14" xr3:uid="{93C1AE8C-2CB0-446A-B830-2B8574FCC8E8}" name="法人／事業所数" totalsRowFunction="sum" totalsRowDxfId="120" dataCellStyle="桁区切り" totalsRowCellStyle="桁区切り"/>
    <tableColumn id="15" xr3:uid="{CE2E6C44-9BBE-42D0-8C25-61C23E929FA0}" name="法人／構成比" dataDxfId="119"/>
    <tableColumn id="16" xr3:uid="{1B1C25DD-E5DE-4C2F-9CE0-502055D4DD2E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1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7" xr:uid="{FB20D507-4EE9-4180-B024-E05F205BB516}" name="M_TABLE_11365" displayName="M_TABLE_11365" ref="B23:I45" totalsRowShown="0">
  <autoFilter ref="B23:I45" xr:uid="{FB20D507-4EE9-4180-B024-E05F205BB516}"/>
  <tableColumns count="8">
    <tableColumn id="9" xr3:uid="{7A32D6D0-DD01-459C-AFBA-65A8221C511E}" name="産業中分類上位２０"/>
    <tableColumn id="10" xr3:uid="{33184F37-796A-4689-9752-479AE94DDBAE}" name="総数／事業所数" dataCellStyle="桁区切り"/>
    <tableColumn id="11" xr3:uid="{AB2890F7-3068-4332-BE9B-991B67A5A127}" name="総数／構成比" dataDxfId="117"/>
    <tableColumn id="12" xr3:uid="{91509CDC-0EF6-4CE6-B70F-5AAF9DB561DA}" name="個人／事業所数" dataCellStyle="桁区切り"/>
    <tableColumn id="13" xr3:uid="{DBCB558F-FDA0-4675-9355-894C67DAFE5C}" name="個人／構成比" dataDxfId="116"/>
    <tableColumn id="14" xr3:uid="{9CE3F727-1011-4E76-8B56-2F580355A83A}" name="法人／事業所数" dataCellStyle="桁区切り"/>
    <tableColumn id="15" xr3:uid="{FA2213BA-4223-4E7F-A164-64D9E060DC45}" name="法人／構成比" dataDxfId="115"/>
    <tableColumn id="16" xr3:uid="{7A2A5E15-1E2C-47E4-80C3-A723B24B9F18}" name="法人以外の団体／事業所数" dataCellStyle="桁区切り"/>
  </tableColumns>
  <tableStyleInfo name="TableStyleMedium9" showFirstColumn="0" showLastColumn="0" showRowStripes="1" showColumnStripes="0"/>
</table>
</file>

<file path=xl/tables/table1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8" xr:uid="{E218CACF-C655-46DF-8E86-708C69B52274}" name="S_TABLE_11365" displayName="S_TABLE_11365" ref="B48:I72" totalsRowShown="0">
  <autoFilter ref="B48:I72" xr:uid="{E218CACF-C655-46DF-8E86-708C69B52274}"/>
  <tableColumns count="8">
    <tableColumn id="9" xr3:uid="{01EEFDD1-7714-4D7F-8687-10FE32CF6E18}" name="産業小分類上位２０"/>
    <tableColumn id="10" xr3:uid="{7E87BAE8-36E5-4A16-9FFA-93600B66002C}" name="総数／事業所数" dataCellStyle="桁区切り"/>
    <tableColumn id="11" xr3:uid="{24FA9BF9-E8B7-4378-8185-F65E2643B87A}" name="総数／構成比" dataDxfId="114"/>
    <tableColumn id="12" xr3:uid="{B2DF2E2F-9724-477B-B0A6-20768F1F90CF}" name="個人／事業所数" dataCellStyle="桁区切り"/>
    <tableColumn id="13" xr3:uid="{FC726432-22E4-42B5-9253-6C7F6B60D629}" name="個人／構成比" dataDxfId="113"/>
    <tableColumn id="14" xr3:uid="{FB2C00DC-C32F-44E2-91C9-0E1C4CD3E931}" name="法人／事業所数" dataCellStyle="桁区切り"/>
    <tableColumn id="15" xr3:uid="{9A6BDF5B-98CC-463C-B2D5-7B4AEC2B67BC}" name="法人／構成比" dataDxfId="112"/>
    <tableColumn id="16" xr3:uid="{6A0B2B05-E9DC-4A53-AF38-F818109D30D4}" name="法人以外の団体／事業所数" dataCellStyle="桁区切り"/>
  </tableColumns>
  <tableStyleInfo name="TableStyleMedium9" showFirstColumn="0" showLastColumn="0" showRowStripes="1" showColumnStripes="0"/>
</table>
</file>

<file path=xl/tables/table1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9" xr:uid="{1ADB8F76-E3A5-4BF6-A3AD-CF4C80638A0E}" name="LTBL_11369" displayName="LTBL_11369" ref="B4:I20" totalsRowCount="1">
  <autoFilter ref="B4:I19" xr:uid="{1ADB8F76-E3A5-4BF6-A3AD-CF4C80638A0E}"/>
  <tableColumns count="8">
    <tableColumn id="9" xr3:uid="{21D995C1-9951-43EA-89B6-B1BF95651ED8}" name="産業大分類" totalsRowLabel="合計" totalsRowDxfId="111"/>
    <tableColumn id="10" xr3:uid="{E1325EB0-8AD1-49E6-A379-48C1B3193DEC}" name="総数／事業所数" totalsRowFunction="custom" totalsRowDxfId="110" dataCellStyle="桁区切り" totalsRowCellStyle="桁区切り">
      <totalsRowFormula>SUM(LTBL_11369[総数／事業所数])</totalsRowFormula>
    </tableColumn>
    <tableColumn id="11" xr3:uid="{366250E4-91C2-4754-8DF2-BB717D92367A}" name="総数／構成比" dataDxfId="109"/>
    <tableColumn id="12" xr3:uid="{717D8E49-C12C-4AE2-846F-C1C2006648C9}" name="個人／事業所数" totalsRowFunction="sum" totalsRowDxfId="108" dataCellStyle="桁区切り" totalsRowCellStyle="桁区切り"/>
    <tableColumn id="13" xr3:uid="{F8B09D47-F752-4805-9E9A-0FB2C4E326F4}" name="個人／構成比" dataDxfId="107"/>
    <tableColumn id="14" xr3:uid="{9B9831EB-EA14-4E65-9C61-A37B239D1C62}" name="法人／事業所数" totalsRowFunction="sum" totalsRowDxfId="106" dataCellStyle="桁区切り" totalsRowCellStyle="桁区切り"/>
    <tableColumn id="15" xr3:uid="{6D1F2E11-F790-4DF5-A066-F8AC66EEA97E}" name="法人／構成比" dataDxfId="105"/>
    <tableColumn id="16" xr3:uid="{BEC051C8-7364-46C9-B85F-01E799F94953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6E10B3A-3C10-4C0D-B381-2C5E8DC1AC5D}" name="M_TABLE_11000" displayName="M_TABLE_11000" ref="B23:I43" totalsRowShown="0">
  <autoFilter ref="B23:I43" xr:uid="{B6E10B3A-3C10-4C0D-B381-2C5E8DC1AC5D}"/>
  <tableColumns count="8">
    <tableColumn id="9" xr3:uid="{87629270-E1BD-4BAC-8C67-D90F57D74E5F}" name="産業中分類上位２０"/>
    <tableColumn id="10" xr3:uid="{93F5CD46-193F-47C2-B01C-FCD4F1DB3FE6}" name="総数／事業所数" dataCellStyle="桁区切り"/>
    <tableColumn id="11" xr3:uid="{8169E52D-8C7A-43BA-BE07-6C432E4C313D}" name="総数／構成比" dataDxfId="1027"/>
    <tableColumn id="12" xr3:uid="{70F3D7D6-E3C2-4CA1-9CD9-351AAA255AA6}" name="個人／事業所数" dataCellStyle="桁区切り"/>
    <tableColumn id="13" xr3:uid="{E721F7CB-F5D7-4FFB-A09C-0E45521CABA9}" name="個人／構成比" dataDxfId="1026"/>
    <tableColumn id="14" xr3:uid="{F685A38A-654C-41F3-926B-E0340FE428EF}" name="法人／事業所数" dataCellStyle="桁区切り"/>
    <tableColumn id="15" xr3:uid="{1D54E504-51DE-4C7A-B4D6-AB43FB92CCD6}" name="法人／構成比" dataDxfId="1025"/>
    <tableColumn id="16" xr3:uid="{FF4780BE-5EF7-4250-9498-653F83CE2245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9A0CB13F-F6FD-4B72-AB8A-1FED5D8416AA}" name="M_TABLE_11105" displayName="M_TABLE_11105" ref="B23:I43" totalsRowShown="0">
  <autoFilter ref="B23:I43" xr:uid="{9A0CB13F-F6FD-4B72-AB8A-1FED5D8416AA}"/>
  <tableColumns count="8">
    <tableColumn id="9" xr3:uid="{1CFBA8FC-C6DF-4C61-964B-74D45A1DD157}" name="産業中分類上位２０"/>
    <tableColumn id="10" xr3:uid="{8B38C2B3-FB98-4EFE-9F6B-ABCB7FCE4583}" name="総数／事業所数" dataCellStyle="桁区切り"/>
    <tableColumn id="11" xr3:uid="{8E4AE208-E479-47FD-B92C-7EB3F5F64861}" name="総数／構成比" dataDxfId="943"/>
    <tableColumn id="12" xr3:uid="{CFCC73F1-DE87-40A5-B2BF-4791D582B861}" name="個人／事業所数" dataCellStyle="桁区切り"/>
    <tableColumn id="13" xr3:uid="{F808B5CC-A254-4052-BA64-3FC2745B277B}" name="個人／構成比" dataDxfId="942"/>
    <tableColumn id="14" xr3:uid="{B9657027-9CB4-4E46-B6EA-2BC275D79061}" name="法人／事業所数" dataCellStyle="桁区切り"/>
    <tableColumn id="15" xr3:uid="{1E16B91A-08A7-41F0-912C-CFBC8B2B4FEC}" name="法人／構成比" dataDxfId="941"/>
    <tableColumn id="16" xr3:uid="{66C74372-5EBF-4481-BFC2-62B185EEF2AE}" name="法人以外の団体／事業所数" dataCellStyle="桁区切り"/>
  </tableColumns>
  <tableStyleInfo name="TableStyleMedium9" showFirstColumn="0" showLastColumn="0" showRowStripes="1" showColumnStripes="0"/>
</table>
</file>

<file path=xl/tables/table2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0" xr:uid="{C7E7690A-4889-4C38-B157-987A33F78C7A}" name="M_TABLE_11369" displayName="M_TABLE_11369" ref="B23:I56" totalsRowShown="0">
  <autoFilter ref="B23:I56" xr:uid="{C7E7690A-4889-4C38-B157-987A33F78C7A}"/>
  <tableColumns count="8">
    <tableColumn id="9" xr3:uid="{9B11676F-3A57-497D-9256-4E725E89617D}" name="産業中分類上位２０"/>
    <tableColumn id="10" xr3:uid="{A1EC0926-C618-41B7-8A1C-B930A24EB039}" name="総数／事業所数" dataCellStyle="桁区切り"/>
    <tableColumn id="11" xr3:uid="{E8612F8E-E5E8-4201-9F38-4B5866C31FBB}" name="総数／構成比" dataDxfId="103"/>
    <tableColumn id="12" xr3:uid="{82E390CB-6999-4B28-858E-E65D28315311}" name="個人／事業所数" dataCellStyle="桁区切り"/>
    <tableColumn id="13" xr3:uid="{2069C979-7374-4DE2-AF6F-E35A3CFC2E09}" name="個人／構成比" dataDxfId="102"/>
    <tableColumn id="14" xr3:uid="{1417AD50-F9AC-422A-A8DF-5711ACF5C046}" name="法人／事業所数" dataCellStyle="桁区切り"/>
    <tableColumn id="15" xr3:uid="{F5BFB8F7-B575-4CF7-AA35-6258EA4DB47D}" name="法人／構成比" dataDxfId="101"/>
    <tableColumn id="16" xr3:uid="{3173FCE7-DB00-4A8B-A001-AFFD9C71B472}" name="法人以外の団体／事業所数" dataCellStyle="桁区切り"/>
  </tableColumns>
  <tableStyleInfo name="TableStyleMedium9" showFirstColumn="0" showLastColumn="0" showRowStripes="1" showColumnStripes="0"/>
</table>
</file>

<file path=xl/tables/table2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1" xr:uid="{D6A6DDBE-3835-4158-B64F-1F9BB088B7EF}" name="S_TABLE_11369" displayName="S_TABLE_11369" ref="B59:I118" totalsRowShown="0">
  <autoFilter ref="B59:I118" xr:uid="{D6A6DDBE-3835-4158-B64F-1F9BB088B7EF}"/>
  <tableColumns count="8">
    <tableColumn id="9" xr3:uid="{CB4499D7-4EF2-44C2-BC0C-F8D996B8889A}" name="産業小分類上位２０"/>
    <tableColumn id="10" xr3:uid="{BDA49096-6060-4018-A46A-A19FD9F45F6D}" name="総数／事業所数" dataCellStyle="桁区切り"/>
    <tableColumn id="11" xr3:uid="{203CC479-4E88-4425-B8FC-B28090661D01}" name="総数／構成比" dataDxfId="100"/>
    <tableColumn id="12" xr3:uid="{8544CCD9-AB1E-4139-9CD1-524BBDE092C4}" name="個人／事業所数" dataCellStyle="桁区切り"/>
    <tableColumn id="13" xr3:uid="{4DC86194-C3A4-43A8-85D3-D8E4E4495F55}" name="個人／構成比" dataDxfId="99"/>
    <tableColumn id="14" xr3:uid="{79736C19-05C8-4573-A8CC-DE6C78B30B3A}" name="法人／事業所数" dataCellStyle="桁区切り"/>
    <tableColumn id="15" xr3:uid="{D653DFFF-F1C6-41AE-9C4B-BA68E895B0C6}" name="法人／構成比" dataDxfId="98"/>
    <tableColumn id="16" xr3:uid="{5E578A94-6205-4704-B387-F47C8DB79021}" name="法人以外の団体／事業所数" dataCellStyle="桁区切り"/>
  </tableColumns>
  <tableStyleInfo name="TableStyleMedium9" showFirstColumn="0" showLastColumn="0" showRowStripes="1" showColumnStripes="0"/>
</table>
</file>

<file path=xl/tables/table2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2" xr:uid="{3BE3FFEA-AA62-483F-BD56-D5E8F515FBEA}" name="LTBL_11381" displayName="LTBL_11381" ref="B4:I20" totalsRowCount="1">
  <autoFilter ref="B4:I19" xr:uid="{3BE3FFEA-AA62-483F-BD56-D5E8F515FBEA}"/>
  <tableColumns count="8">
    <tableColumn id="9" xr3:uid="{90F0A62D-CB78-4755-9ACF-01D1B0FB6281}" name="産業大分類" totalsRowLabel="合計" totalsRowDxfId="97"/>
    <tableColumn id="10" xr3:uid="{1CD37C56-880D-4F59-B3E8-1009B570D16B}" name="総数／事業所数" totalsRowFunction="custom" totalsRowDxfId="96" dataCellStyle="桁区切り" totalsRowCellStyle="桁区切り">
      <totalsRowFormula>SUM(LTBL_11381[総数／事業所数])</totalsRowFormula>
    </tableColumn>
    <tableColumn id="11" xr3:uid="{CD500A31-CDC8-4D49-BA43-1774428FA625}" name="総数／構成比" dataDxfId="95"/>
    <tableColumn id="12" xr3:uid="{CCCE5FC3-936B-440E-8229-E0B89FD50490}" name="個人／事業所数" totalsRowFunction="sum" totalsRowDxfId="94" dataCellStyle="桁区切り" totalsRowCellStyle="桁区切り"/>
    <tableColumn id="13" xr3:uid="{CE2C5118-03FF-49B0-87DE-1A7462739202}" name="個人／構成比" dataDxfId="93"/>
    <tableColumn id="14" xr3:uid="{2272E37E-C39C-4EA8-940C-4511807068A8}" name="法人／事業所数" totalsRowFunction="sum" totalsRowDxfId="92" dataCellStyle="桁区切り" totalsRowCellStyle="桁区切り"/>
    <tableColumn id="15" xr3:uid="{856778AB-7F00-4629-B220-A3CA5B4DA40B}" name="法人／構成比" dataDxfId="91"/>
    <tableColumn id="16" xr3:uid="{4AECB40A-330D-4DD2-9870-4F3E72C1CC09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2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3" xr:uid="{368233F6-49F7-4093-AEF9-30C4D6F932DC}" name="M_TABLE_11381" displayName="M_TABLE_11381" ref="B23:I44" totalsRowShown="0">
  <autoFilter ref="B23:I44" xr:uid="{368233F6-49F7-4093-AEF9-30C4D6F932DC}"/>
  <tableColumns count="8">
    <tableColumn id="9" xr3:uid="{2649F9EA-EC61-4241-968F-F7F677189A9B}" name="産業中分類上位２０"/>
    <tableColumn id="10" xr3:uid="{BB860208-F765-4273-AC4B-3AB354D5941E}" name="総数／事業所数" dataCellStyle="桁区切り"/>
    <tableColumn id="11" xr3:uid="{8AB720C2-2EF0-4CE7-8333-82EEBA58066B}" name="総数／構成比" dataDxfId="89"/>
    <tableColumn id="12" xr3:uid="{A0EA5D4A-1B54-4F74-B5E1-6605B9290EE9}" name="個人／事業所数" dataCellStyle="桁区切り"/>
    <tableColumn id="13" xr3:uid="{9ADAD4E7-A7E0-40A8-B4DE-5F547B143DBE}" name="個人／構成比" dataDxfId="88"/>
    <tableColumn id="14" xr3:uid="{27BBC65E-8764-4EFC-8580-9C480567D382}" name="法人／事業所数" dataCellStyle="桁区切り"/>
    <tableColumn id="15" xr3:uid="{F49F7EC5-FA9F-4B27-9C2E-0CCB1C301E65}" name="法人／構成比" dataDxfId="87"/>
    <tableColumn id="16" xr3:uid="{B0B68CCD-0F0A-4ABB-8A44-4370DA72F172}" name="法人以外の団体／事業所数" dataCellStyle="桁区切り"/>
  </tableColumns>
  <tableStyleInfo name="TableStyleMedium9" showFirstColumn="0" showLastColumn="0" showRowStripes="1" showColumnStripes="0"/>
</table>
</file>

<file path=xl/tables/table2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4" xr:uid="{10CE25C2-0DA8-4890-AF43-2BE7E1777C4C}" name="S_TABLE_11381" displayName="S_TABLE_11381" ref="B47:I73" totalsRowShown="0">
  <autoFilter ref="B47:I73" xr:uid="{10CE25C2-0DA8-4890-AF43-2BE7E1777C4C}"/>
  <tableColumns count="8">
    <tableColumn id="9" xr3:uid="{A806521E-96B5-4EC6-A5EC-EF47B20EA198}" name="産業小分類上位２０"/>
    <tableColumn id="10" xr3:uid="{2C7C269A-4D3F-4B0A-AC85-1EFF67962B67}" name="総数／事業所数" dataCellStyle="桁区切り"/>
    <tableColumn id="11" xr3:uid="{15734BBC-6F43-4B69-8D78-DABB60F31D92}" name="総数／構成比" dataDxfId="86"/>
    <tableColumn id="12" xr3:uid="{90306251-01ED-4989-A3CC-8305A581EFB0}" name="個人／事業所数" dataCellStyle="桁区切り"/>
    <tableColumn id="13" xr3:uid="{50C10FDF-DAF3-4226-A664-A6EFA30CFAB4}" name="個人／構成比" dataDxfId="85"/>
    <tableColumn id="14" xr3:uid="{5A4D30F6-80D4-49E3-B811-D37D061B5475}" name="法人／事業所数" dataCellStyle="桁区切り"/>
    <tableColumn id="15" xr3:uid="{01C7EF8A-DC53-4591-A84F-FD7DA5B75B67}" name="法人／構成比" dataDxfId="84"/>
    <tableColumn id="16" xr3:uid="{1075D852-4250-4A15-8BD3-AA4D3C029408}" name="法人以外の団体／事業所数" dataCellStyle="桁区切り"/>
  </tableColumns>
  <tableStyleInfo name="TableStyleMedium9" showFirstColumn="0" showLastColumn="0" showRowStripes="1" showColumnStripes="0"/>
</table>
</file>

<file path=xl/tables/table2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5" xr:uid="{45C91513-CDF9-4A8B-B453-E733BAC8C13C}" name="LTBL_11383" displayName="LTBL_11383" ref="B4:I20" totalsRowCount="1">
  <autoFilter ref="B4:I19" xr:uid="{45C91513-CDF9-4A8B-B453-E733BAC8C13C}"/>
  <tableColumns count="8">
    <tableColumn id="9" xr3:uid="{7779B9C0-6A1A-4125-AC7E-7E6C1A5D2C0A}" name="産業大分類" totalsRowLabel="合計" totalsRowDxfId="83"/>
    <tableColumn id="10" xr3:uid="{20636CF7-9372-47C8-AD45-7E2D69842CF0}" name="総数／事業所数" totalsRowFunction="custom" totalsRowDxfId="82" dataCellStyle="桁区切り" totalsRowCellStyle="桁区切り">
      <totalsRowFormula>SUM(LTBL_11383[総数／事業所数])</totalsRowFormula>
    </tableColumn>
    <tableColumn id="11" xr3:uid="{727AA8A0-4C1C-4A13-8149-5B71829951F4}" name="総数／構成比" dataDxfId="81"/>
    <tableColumn id="12" xr3:uid="{3C1CE785-A632-49B3-B2AC-25041F06C7C4}" name="個人／事業所数" totalsRowFunction="sum" totalsRowDxfId="80" dataCellStyle="桁区切り" totalsRowCellStyle="桁区切り"/>
    <tableColumn id="13" xr3:uid="{AC348946-DA1B-402F-BF11-7A7AD40B0B71}" name="個人／構成比" dataDxfId="79"/>
    <tableColumn id="14" xr3:uid="{AD87F9D3-0223-4C62-A8ED-E54C15ADFBCA}" name="法人／事業所数" totalsRowFunction="sum" totalsRowDxfId="78" dataCellStyle="桁区切り" totalsRowCellStyle="桁区切り"/>
    <tableColumn id="15" xr3:uid="{085A7D24-0F91-4647-9B67-36FD74B8CE7B}" name="法人／構成比" dataDxfId="77"/>
    <tableColumn id="16" xr3:uid="{B2406160-3297-473B-BDDC-E09609245136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2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6" xr:uid="{4356005C-C737-4813-B63B-46DF014C7CD7}" name="M_TABLE_11383" displayName="M_TABLE_11383" ref="B23:I45" totalsRowShown="0">
  <autoFilter ref="B23:I45" xr:uid="{4356005C-C737-4813-B63B-46DF014C7CD7}"/>
  <tableColumns count="8">
    <tableColumn id="9" xr3:uid="{EADCDB90-23B1-4B81-9147-1A88FBF0DB25}" name="産業中分類上位２０"/>
    <tableColumn id="10" xr3:uid="{CF230425-86F8-4BD0-A9A6-D09B301BE31F}" name="総数／事業所数" dataCellStyle="桁区切り"/>
    <tableColumn id="11" xr3:uid="{DDADA699-7F63-4019-BA36-3A53873C78D4}" name="総数／構成比" dataDxfId="75"/>
    <tableColumn id="12" xr3:uid="{018996CB-CBE7-44D5-B59B-31C99FE5D475}" name="個人／事業所数" dataCellStyle="桁区切り"/>
    <tableColumn id="13" xr3:uid="{C86BD352-FAC6-4161-99B9-3BBF739E3BAF}" name="個人／構成比" dataDxfId="74"/>
    <tableColumn id="14" xr3:uid="{A88B7281-9A7A-4E60-87AE-DDE574EF6AEE}" name="法人／事業所数" dataCellStyle="桁区切り"/>
    <tableColumn id="15" xr3:uid="{A7923AF3-EBAA-4D92-9A33-6460A11142D6}" name="法人／構成比" dataDxfId="73"/>
    <tableColumn id="16" xr3:uid="{9463FD8E-8C20-4DD9-9027-D9E289717822}" name="法人以外の団体／事業所数" dataCellStyle="桁区切り"/>
  </tableColumns>
  <tableStyleInfo name="TableStyleMedium9" showFirstColumn="0" showLastColumn="0" showRowStripes="1" showColumnStripes="0"/>
</table>
</file>

<file path=xl/tables/table2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7" xr:uid="{C3C7F9EE-5A3E-46F0-8375-7A8AFF3251BC}" name="S_TABLE_11383" displayName="S_TABLE_11383" ref="B48:I69" totalsRowShown="0">
  <autoFilter ref="B48:I69" xr:uid="{C3C7F9EE-5A3E-46F0-8375-7A8AFF3251BC}"/>
  <tableColumns count="8">
    <tableColumn id="9" xr3:uid="{1944436E-20BD-48C6-ADDA-28C7D99AE67E}" name="産業小分類上位２０"/>
    <tableColumn id="10" xr3:uid="{C24A575A-DD2B-46EF-9706-3C3A217BE9B0}" name="総数／事業所数" dataCellStyle="桁区切り"/>
    <tableColumn id="11" xr3:uid="{C3B18AF1-236B-4DE2-8459-052DDCEAFC91}" name="総数／構成比" dataDxfId="72"/>
    <tableColumn id="12" xr3:uid="{42431309-6F2F-4A78-9EC9-571BDC558E63}" name="個人／事業所数" dataCellStyle="桁区切り"/>
    <tableColumn id="13" xr3:uid="{443B563F-9F2C-4904-9059-836D32422C8E}" name="個人／構成比" dataDxfId="71"/>
    <tableColumn id="14" xr3:uid="{F3178132-FC51-4730-AC36-16F24C9FDC8D}" name="法人／事業所数" dataCellStyle="桁区切り"/>
    <tableColumn id="15" xr3:uid="{4002C9CE-BEC7-4830-B136-906BC54A2F17}" name="法人／構成比" dataDxfId="70"/>
    <tableColumn id="16" xr3:uid="{32D07088-E56F-47D1-B325-C7C076080F59}" name="法人以外の団体／事業所数" dataCellStyle="桁区切り"/>
  </tableColumns>
  <tableStyleInfo name="TableStyleMedium9" showFirstColumn="0" showLastColumn="0" showRowStripes="1" showColumnStripes="0"/>
</table>
</file>

<file path=xl/tables/table2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8" xr:uid="{53763191-4DB4-4FAF-8963-53554DFB286D}" name="LTBL_11385" displayName="LTBL_11385" ref="B4:I20" totalsRowCount="1">
  <autoFilter ref="B4:I19" xr:uid="{53763191-4DB4-4FAF-8963-53554DFB286D}"/>
  <tableColumns count="8">
    <tableColumn id="9" xr3:uid="{939B7F60-C30C-491C-B597-14D9349FE348}" name="産業大分類" totalsRowLabel="合計" totalsRowDxfId="69"/>
    <tableColumn id="10" xr3:uid="{44C3B871-5C52-47DD-ABB8-4345ACDFC774}" name="総数／事業所数" totalsRowFunction="custom" totalsRowDxfId="68" dataCellStyle="桁区切り" totalsRowCellStyle="桁区切り">
      <totalsRowFormula>SUM(LTBL_11385[総数／事業所数])</totalsRowFormula>
    </tableColumn>
    <tableColumn id="11" xr3:uid="{124D4F43-2FBE-404F-803E-B753A830DCBE}" name="総数／構成比" dataDxfId="67"/>
    <tableColumn id="12" xr3:uid="{735CE412-C058-46AD-8176-81D8D827284C}" name="個人／事業所数" totalsRowFunction="sum" totalsRowDxfId="66" dataCellStyle="桁区切り" totalsRowCellStyle="桁区切り"/>
    <tableColumn id="13" xr3:uid="{372DF74A-F29C-4AC2-B13C-16334824FA83}" name="個人／構成比" dataDxfId="65"/>
    <tableColumn id="14" xr3:uid="{2FE75B13-54A5-4468-8D11-A058DF56863A}" name="法人／事業所数" totalsRowFunction="sum" totalsRowDxfId="64" dataCellStyle="桁区切り" totalsRowCellStyle="桁区切り"/>
    <tableColumn id="15" xr3:uid="{EBAF8F22-7EBD-453E-BF1D-315CED9066B5}" name="法人／構成比" dataDxfId="63"/>
    <tableColumn id="16" xr3:uid="{8079D585-1ADC-4249-B82B-F3F35D063828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2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9" xr:uid="{29A40034-1089-4ECC-8FE3-0A1441975901}" name="M_TABLE_11385" displayName="M_TABLE_11385" ref="B23:I44" totalsRowShown="0">
  <autoFilter ref="B23:I44" xr:uid="{29A40034-1089-4ECC-8FE3-0A1441975901}"/>
  <tableColumns count="8">
    <tableColumn id="9" xr3:uid="{EE2416E1-79F8-4644-AFBB-F534DB50B368}" name="産業中分類上位２０"/>
    <tableColumn id="10" xr3:uid="{8A2978D8-443A-4857-BE4C-D95235A5DC55}" name="総数／事業所数" dataCellStyle="桁区切り"/>
    <tableColumn id="11" xr3:uid="{3D89B338-8C22-42C2-A005-2A0868FB9C90}" name="総数／構成比" dataDxfId="61"/>
    <tableColumn id="12" xr3:uid="{4047AEEE-93C6-456E-946A-F5ED7D5117AE}" name="個人／事業所数" dataCellStyle="桁区切り"/>
    <tableColumn id="13" xr3:uid="{DACF68F0-DD0D-4533-9B50-FEF0A2C0F010}" name="個人／構成比" dataDxfId="60"/>
    <tableColumn id="14" xr3:uid="{A631BB50-4210-4A3F-BA94-3EC39352D761}" name="法人／事業所数" dataCellStyle="桁区切り"/>
    <tableColumn id="15" xr3:uid="{C1699CED-6CB4-40F1-99A9-C300AFB9385C}" name="法人／構成比" dataDxfId="59"/>
    <tableColumn id="16" xr3:uid="{4BE0D8B0-5BCC-4D8F-8003-E4A851C11B15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4E6812F3-F64E-43A6-A483-60C99434302C}" name="S_TABLE_11105" displayName="S_TABLE_11105" ref="B46:I67" totalsRowShown="0">
  <autoFilter ref="B46:I67" xr:uid="{4E6812F3-F64E-43A6-A483-60C99434302C}"/>
  <tableColumns count="8">
    <tableColumn id="9" xr3:uid="{31187E1D-3121-4808-BDBD-8FB43C910DF0}" name="産業小分類上位２０"/>
    <tableColumn id="10" xr3:uid="{BC7DE87A-09A9-42FD-AB69-4321E9FB7985}" name="総数／事業所数" dataCellStyle="桁区切り"/>
    <tableColumn id="11" xr3:uid="{B70EE75E-B068-4A7B-9132-1F6C5D592B81}" name="総数／構成比" dataDxfId="940"/>
    <tableColumn id="12" xr3:uid="{DED4C049-3098-4814-9B06-F4C245043506}" name="個人／事業所数" dataCellStyle="桁区切り"/>
    <tableColumn id="13" xr3:uid="{7FE5B517-50DC-4C37-8FD9-9B42A6A23BE3}" name="個人／構成比" dataDxfId="939"/>
    <tableColumn id="14" xr3:uid="{9186F737-3BBC-4384-874C-81E2F7DB9AC7}" name="法人／事業所数" dataCellStyle="桁区切り"/>
    <tableColumn id="15" xr3:uid="{1F65E326-C79E-4443-87F4-B33FBEC5A108}" name="法人／構成比" dataDxfId="938"/>
    <tableColumn id="16" xr3:uid="{87C623CA-F537-4B4A-AB1F-2B96EAE725BF}" name="法人以外の団体／事業所数" dataCellStyle="桁区切り"/>
  </tableColumns>
  <tableStyleInfo name="TableStyleMedium9" showFirstColumn="0" showLastColumn="0" showRowStripes="1" showColumnStripes="0"/>
</table>
</file>

<file path=xl/tables/table2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0" xr:uid="{4506258F-2EB6-4BA8-A644-0EC3FB95DEB9}" name="S_TABLE_11385" displayName="S_TABLE_11385" ref="B47:I67" totalsRowShown="0">
  <autoFilter ref="B47:I67" xr:uid="{4506258F-2EB6-4BA8-A644-0EC3FB95DEB9}"/>
  <tableColumns count="8">
    <tableColumn id="9" xr3:uid="{CCE7BA02-2330-4EFB-B3D6-B36A4AEF3F2B}" name="産業小分類上位２０"/>
    <tableColumn id="10" xr3:uid="{CEC80C0F-B9DA-42CB-9A19-5FA96F02ECAF}" name="総数／事業所数" dataCellStyle="桁区切り"/>
    <tableColumn id="11" xr3:uid="{E654E0C9-8C46-4B99-994F-3700F6E398E2}" name="総数／構成比" dataDxfId="58"/>
    <tableColumn id="12" xr3:uid="{8B704B44-D562-45F4-ADBF-B13526DA502B}" name="個人／事業所数" dataCellStyle="桁区切り"/>
    <tableColumn id="13" xr3:uid="{3BADFE9A-74B1-4049-8B00-C9E7AC3E214F}" name="個人／構成比" dataDxfId="57"/>
    <tableColumn id="14" xr3:uid="{BDE9F033-F626-459E-8758-D650A808588D}" name="法人／事業所数" dataCellStyle="桁区切り"/>
    <tableColumn id="15" xr3:uid="{695FE3F7-9DFA-4AD5-9506-BD756F88027A}" name="法人／構成比" dataDxfId="56"/>
    <tableColumn id="16" xr3:uid="{73DF5C6F-E496-4686-8E33-85F6DE290D20}" name="法人以外の団体／事業所数" dataCellStyle="桁区切り"/>
  </tableColumns>
  <tableStyleInfo name="TableStyleMedium9" showFirstColumn="0" showLastColumn="0" showRowStripes="1" showColumnStripes="0"/>
</table>
</file>

<file path=xl/tables/table2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1" xr:uid="{CD136355-ABE6-4043-9A2C-89EF782FF119}" name="LTBL_11408" displayName="LTBL_11408" ref="B4:I20" totalsRowCount="1">
  <autoFilter ref="B4:I19" xr:uid="{CD136355-ABE6-4043-9A2C-89EF782FF119}"/>
  <tableColumns count="8">
    <tableColumn id="9" xr3:uid="{4AA5ADE1-785A-4335-A769-B619D08E3EBA}" name="産業大分類" totalsRowLabel="合計" totalsRowDxfId="55"/>
    <tableColumn id="10" xr3:uid="{C53AAE38-2314-45B1-8833-D29729BBA3F5}" name="総数／事業所数" totalsRowFunction="custom" totalsRowDxfId="54" dataCellStyle="桁区切り" totalsRowCellStyle="桁区切り">
      <totalsRowFormula>SUM(LTBL_11408[総数／事業所数])</totalsRowFormula>
    </tableColumn>
    <tableColumn id="11" xr3:uid="{7E58CAD5-8C1E-4560-8089-E7A56473F3BC}" name="総数／構成比" dataDxfId="53"/>
    <tableColumn id="12" xr3:uid="{AD670F09-FF3F-49AB-BB0F-DA706885E59E}" name="個人／事業所数" totalsRowFunction="sum" totalsRowDxfId="52" dataCellStyle="桁区切り" totalsRowCellStyle="桁区切り"/>
    <tableColumn id="13" xr3:uid="{E0F41456-7F3C-4BF7-A13B-7AE67BEF9E10}" name="個人／構成比" dataDxfId="51"/>
    <tableColumn id="14" xr3:uid="{660C99A1-3E93-44C5-A22D-93AE0972DC77}" name="法人／事業所数" totalsRowFunction="sum" totalsRowDxfId="50" dataCellStyle="桁区切り" totalsRowCellStyle="桁区切り"/>
    <tableColumn id="15" xr3:uid="{7BDAA737-B280-42D9-8FB6-648C7341E034}" name="法人／構成比" dataDxfId="49"/>
    <tableColumn id="16" xr3:uid="{9ED066E7-F942-4EDC-9DF2-0866573A37E8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2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2" xr:uid="{4E27BAA6-3AEC-4A18-B949-47C42A0B2838}" name="M_TABLE_11408" displayName="M_TABLE_11408" ref="B23:I43" totalsRowShown="0">
  <autoFilter ref="B23:I43" xr:uid="{4E27BAA6-3AEC-4A18-B949-47C42A0B2838}"/>
  <tableColumns count="8">
    <tableColumn id="9" xr3:uid="{787F3D4B-2033-4280-B984-5075E66068FA}" name="産業中分類上位２０"/>
    <tableColumn id="10" xr3:uid="{456AB932-B76C-41CE-8A4B-8B97A7D1CEF4}" name="総数／事業所数" dataCellStyle="桁区切り"/>
    <tableColumn id="11" xr3:uid="{131D360F-572F-4E4D-98AB-A6136437FAFD}" name="総数／構成比" dataDxfId="47"/>
    <tableColumn id="12" xr3:uid="{D5FA0C61-60A8-44B6-984E-744F2F4FFDFC}" name="個人／事業所数" dataCellStyle="桁区切り"/>
    <tableColumn id="13" xr3:uid="{1ED3C8AB-A3B0-476F-881F-67E561813A3F}" name="個人／構成比" dataDxfId="46"/>
    <tableColumn id="14" xr3:uid="{0940A0E7-8A49-41F4-85EC-23AEA4CF3D9B}" name="法人／事業所数" dataCellStyle="桁区切り"/>
    <tableColumn id="15" xr3:uid="{3D4D51DB-E558-436C-B228-1B6A3F571D01}" name="法人／構成比" dataDxfId="45"/>
    <tableColumn id="16" xr3:uid="{9C52EA5C-7F40-47FB-A22B-62D41081DFD1}" name="法人以外の団体／事業所数" dataCellStyle="桁区切り"/>
  </tableColumns>
  <tableStyleInfo name="TableStyleMedium9" showFirstColumn="0" showLastColumn="0" showRowStripes="1" showColumnStripes="0"/>
</table>
</file>

<file path=xl/tables/table2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3" xr:uid="{9DCBD54A-C5F2-44B7-BDDE-684C22186F91}" name="S_TABLE_11408" displayName="S_TABLE_11408" ref="B46:I67" totalsRowShown="0">
  <autoFilter ref="B46:I67" xr:uid="{9DCBD54A-C5F2-44B7-BDDE-684C22186F91}"/>
  <tableColumns count="8">
    <tableColumn id="9" xr3:uid="{423091C1-12C9-4DD0-AC85-59927AAF4294}" name="産業小分類上位２０"/>
    <tableColumn id="10" xr3:uid="{40277291-C6C0-4A6D-BB6F-B55CC637EA74}" name="総数／事業所数" dataCellStyle="桁区切り"/>
    <tableColumn id="11" xr3:uid="{DFF0CA8C-6D10-458A-AABC-86E3413CC53E}" name="総数／構成比" dataDxfId="44"/>
    <tableColumn id="12" xr3:uid="{9E8FC25D-6754-48DF-8534-1C45FCF4B77F}" name="個人／事業所数" dataCellStyle="桁区切り"/>
    <tableColumn id="13" xr3:uid="{7782734E-759A-40AA-AF74-0FE937B1139A}" name="個人／構成比" dataDxfId="43"/>
    <tableColumn id="14" xr3:uid="{2872BAD2-AFED-41BF-879B-5AD40A187542}" name="法人／事業所数" dataCellStyle="桁区切り"/>
    <tableColumn id="15" xr3:uid="{5CE6924F-1C28-4228-B7F9-8E84658AD219}" name="法人／構成比" dataDxfId="42"/>
    <tableColumn id="16" xr3:uid="{A1CD8A94-F8BD-4CE4-8B93-69847E9CB115}" name="法人以外の団体／事業所数" dataCellStyle="桁区切り"/>
  </tableColumns>
  <tableStyleInfo name="TableStyleMedium9" showFirstColumn="0" showLastColumn="0" showRowStripes="1" showColumnStripes="0"/>
</table>
</file>

<file path=xl/tables/table2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4" xr:uid="{AB3582CE-4DFB-4D03-84CD-488D33C5314F}" name="LTBL_11442" displayName="LTBL_11442" ref="B4:I20" totalsRowCount="1">
  <autoFilter ref="B4:I19" xr:uid="{AB3582CE-4DFB-4D03-84CD-488D33C5314F}"/>
  <tableColumns count="8">
    <tableColumn id="9" xr3:uid="{D8FD8465-1C0C-4764-B43B-45A28605A13F}" name="産業大分類" totalsRowLabel="合計" totalsRowDxfId="41"/>
    <tableColumn id="10" xr3:uid="{21C028BB-194F-45DC-AFC9-C566ADC7FF54}" name="総数／事業所数" totalsRowFunction="custom" totalsRowDxfId="40" dataCellStyle="桁区切り" totalsRowCellStyle="桁区切り">
      <totalsRowFormula>SUM(LTBL_11442[総数／事業所数])</totalsRowFormula>
    </tableColumn>
    <tableColumn id="11" xr3:uid="{349A31F2-267F-463A-BC0F-F02DF90B441C}" name="総数／構成比" dataDxfId="39"/>
    <tableColumn id="12" xr3:uid="{20DBD915-EADE-4B0F-8ECF-BBCDCD9864D0}" name="個人／事業所数" totalsRowFunction="sum" totalsRowDxfId="38" dataCellStyle="桁区切り" totalsRowCellStyle="桁区切り"/>
    <tableColumn id="13" xr3:uid="{1635F18F-4895-4394-AF55-C74E65CD397C}" name="個人／構成比" dataDxfId="37"/>
    <tableColumn id="14" xr3:uid="{C0328253-00CF-4AEA-914D-02A2920A8154}" name="法人／事業所数" totalsRowFunction="sum" totalsRowDxfId="36" dataCellStyle="桁区切り" totalsRowCellStyle="桁区切り"/>
    <tableColumn id="15" xr3:uid="{299807FC-0CB9-46B7-907B-AC3DB3DFCA0C}" name="法人／構成比" dataDxfId="35"/>
    <tableColumn id="16" xr3:uid="{B4FED0AD-338A-4AD8-A17A-2B95F3E69D12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2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5" xr:uid="{EFBAA6CB-9273-43BF-A6FA-55C10DC39FEB}" name="M_TABLE_11442" displayName="M_TABLE_11442" ref="B23:I43" totalsRowShown="0">
  <autoFilter ref="B23:I43" xr:uid="{EFBAA6CB-9273-43BF-A6FA-55C10DC39FEB}"/>
  <tableColumns count="8">
    <tableColumn id="9" xr3:uid="{3939A105-F868-4A23-887D-4B7FF8D6F072}" name="産業中分類上位２０"/>
    <tableColumn id="10" xr3:uid="{48483DE3-66D3-402A-B512-EF8CBDC438BE}" name="総数／事業所数" dataCellStyle="桁区切り"/>
    <tableColumn id="11" xr3:uid="{1FFBCBDC-1753-4175-A61C-5ED95F4B0275}" name="総数／構成比" dataDxfId="33"/>
    <tableColumn id="12" xr3:uid="{7E71937B-049C-4142-8D81-7FD0644CB8C0}" name="個人／事業所数" dataCellStyle="桁区切り"/>
    <tableColumn id="13" xr3:uid="{C5A01165-870E-4AEF-BD91-E0C605ACA53E}" name="個人／構成比" dataDxfId="32"/>
    <tableColumn id="14" xr3:uid="{3F4B7845-7A51-46CB-A000-AF84E080BC9D}" name="法人／事業所数" dataCellStyle="桁区切り"/>
    <tableColumn id="15" xr3:uid="{DA03D311-CAC6-49EC-B8C0-73F3CF849640}" name="法人／構成比" dataDxfId="31"/>
    <tableColumn id="16" xr3:uid="{1FF362E3-ECA1-4C6F-8F22-04BF2CD890C5}" name="法人以外の団体／事業所数" dataCellStyle="桁区切り"/>
  </tableColumns>
  <tableStyleInfo name="TableStyleMedium9" showFirstColumn="0" showLastColumn="0" showRowStripes="1" showColumnStripes="0"/>
</table>
</file>

<file path=xl/tables/table2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6" xr:uid="{291044C9-A780-4D93-8BA4-66B308058FE0}" name="S_TABLE_11442" displayName="S_TABLE_11442" ref="B46:I66" totalsRowShown="0">
  <autoFilter ref="B46:I66" xr:uid="{291044C9-A780-4D93-8BA4-66B308058FE0}"/>
  <tableColumns count="8">
    <tableColumn id="9" xr3:uid="{6ED683EE-B5B4-4987-BB50-28441C523ABC}" name="産業小分類上位２０"/>
    <tableColumn id="10" xr3:uid="{FBA7F7D8-4786-4A5C-A7F9-1D51B2475A4C}" name="総数／事業所数" dataCellStyle="桁区切り"/>
    <tableColumn id="11" xr3:uid="{305D0AB0-AC96-4D32-BCBF-E179C7BADF24}" name="総数／構成比" dataDxfId="30"/>
    <tableColumn id="12" xr3:uid="{73D1B8C5-3AAA-46BD-A249-1E8CF78B38C7}" name="個人／事業所数" dataCellStyle="桁区切り"/>
    <tableColumn id="13" xr3:uid="{B1F39F24-73D5-4A11-8C1B-0A4B1243B77C}" name="個人／構成比" dataDxfId="29"/>
    <tableColumn id="14" xr3:uid="{F4E3D612-4C47-4534-88D5-2A198C3A6E3B}" name="法人／事業所数" dataCellStyle="桁区切り"/>
    <tableColumn id="15" xr3:uid="{94B6697D-074B-43B8-ACDE-BC8CAA1E4D81}" name="法人／構成比" dataDxfId="28"/>
    <tableColumn id="16" xr3:uid="{A76374F7-B52D-4981-8AE4-CD19EF947F62}" name="法人以外の団体／事業所数" dataCellStyle="桁区切り"/>
  </tableColumns>
  <tableStyleInfo name="TableStyleMedium9" showFirstColumn="0" showLastColumn="0" showRowStripes="1" showColumnStripes="0"/>
</table>
</file>

<file path=xl/tables/table2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7" xr:uid="{A51BE603-C483-4ADA-B5A3-0B9B2889B118}" name="LTBL_11464" displayName="LTBL_11464" ref="B4:I20" totalsRowCount="1">
  <autoFilter ref="B4:I19" xr:uid="{A51BE603-C483-4ADA-B5A3-0B9B2889B118}"/>
  <tableColumns count="8">
    <tableColumn id="9" xr3:uid="{FA91ACB2-265B-4F60-96EF-A263A4D7B28B}" name="産業大分類" totalsRowLabel="合計" totalsRowDxfId="27"/>
    <tableColumn id="10" xr3:uid="{ED8D87EE-FC0A-4878-8F6C-14C0B405EC8C}" name="総数／事業所数" totalsRowFunction="custom" totalsRowDxfId="26" dataCellStyle="桁区切り" totalsRowCellStyle="桁区切り">
      <totalsRowFormula>SUM(LTBL_11464[総数／事業所数])</totalsRowFormula>
    </tableColumn>
    <tableColumn id="11" xr3:uid="{82DCC9E0-1694-450D-8F92-CC5ED0E43310}" name="総数／構成比" dataDxfId="25"/>
    <tableColumn id="12" xr3:uid="{0DE16266-4F52-4CEC-8791-0B826E9B0A28}" name="個人／事業所数" totalsRowFunction="sum" totalsRowDxfId="24" dataCellStyle="桁区切り" totalsRowCellStyle="桁区切り"/>
    <tableColumn id="13" xr3:uid="{145652CC-7AE3-4C4E-BDDE-53EB4EA6CEB6}" name="個人／構成比" dataDxfId="23"/>
    <tableColumn id="14" xr3:uid="{10596F0E-D421-4A8D-9600-9C08CF831604}" name="法人／事業所数" totalsRowFunction="sum" totalsRowDxfId="22" dataCellStyle="桁区切り" totalsRowCellStyle="桁区切り"/>
    <tableColumn id="15" xr3:uid="{E4A6FF8A-D813-4BA4-B546-D5825A1D9E8F}" name="法人／構成比" dataDxfId="21"/>
    <tableColumn id="16" xr3:uid="{CB4B5912-E58D-43C1-A6E7-A5F5F2E6AD3B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2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8" xr:uid="{C122F86D-790B-4704-AE00-E3726F17ADAE}" name="M_TABLE_11464" displayName="M_TABLE_11464" ref="B23:I43" totalsRowShown="0">
  <autoFilter ref="B23:I43" xr:uid="{C122F86D-790B-4704-AE00-E3726F17ADAE}"/>
  <tableColumns count="8">
    <tableColumn id="9" xr3:uid="{A49C2606-47B2-4E86-A99D-F89DAECF4C21}" name="産業中分類上位２０"/>
    <tableColumn id="10" xr3:uid="{800ADE89-6EC5-4199-A494-64A550CDBDC3}" name="総数／事業所数" dataCellStyle="桁区切り"/>
    <tableColumn id="11" xr3:uid="{9241EEF4-3415-48FB-8A22-F62B5ED98E9D}" name="総数／構成比" dataDxfId="19"/>
    <tableColumn id="12" xr3:uid="{E811B6B8-1E99-42D7-A3DA-DEF7BC4D6D09}" name="個人／事業所数" dataCellStyle="桁区切り"/>
    <tableColumn id="13" xr3:uid="{F28C294B-A5B6-4327-A860-EE6BBE693DDF}" name="個人／構成比" dataDxfId="18"/>
    <tableColumn id="14" xr3:uid="{4EAB6D09-2663-444B-B808-6E11A09681D9}" name="法人／事業所数" dataCellStyle="桁区切り"/>
    <tableColumn id="15" xr3:uid="{26C2065A-2504-42B4-B38B-3B8184BA3ACC}" name="法人／構成比" dataDxfId="17"/>
    <tableColumn id="16" xr3:uid="{958F0A37-C334-4A9B-9472-D73E61EFD37E}" name="法人以外の団体／事業所数" dataCellStyle="桁区切り"/>
  </tableColumns>
  <tableStyleInfo name="TableStyleMedium9" showFirstColumn="0" showLastColumn="0" showRowStripes="1" showColumnStripes="0"/>
</table>
</file>

<file path=xl/tables/table2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9" xr:uid="{50104FCD-96C7-4C0D-8CAF-D29258E2A72A}" name="S_TABLE_11464" displayName="S_TABLE_11464" ref="B46:I67" totalsRowShown="0">
  <autoFilter ref="B46:I67" xr:uid="{50104FCD-96C7-4C0D-8CAF-D29258E2A72A}"/>
  <tableColumns count="8">
    <tableColumn id="9" xr3:uid="{D79F1992-C452-438E-BFA8-A94E87F3213A}" name="産業小分類上位２０"/>
    <tableColumn id="10" xr3:uid="{B457A667-EE1D-407C-A613-E16897C47997}" name="総数／事業所数" dataCellStyle="桁区切り"/>
    <tableColumn id="11" xr3:uid="{77F3746E-4525-491D-A3B5-2F9062720080}" name="総数／構成比" dataDxfId="16"/>
    <tableColumn id="12" xr3:uid="{9B7A8794-8C77-4CD1-B554-747A08A54E11}" name="個人／事業所数" dataCellStyle="桁区切り"/>
    <tableColumn id="13" xr3:uid="{6AE6F9B6-4335-4885-9F06-BFAA64A39535}" name="個人／構成比" dataDxfId="15"/>
    <tableColumn id="14" xr3:uid="{CC81A7DB-BE4C-4C1F-ABCF-5A0FA6633E3A}" name="法人／事業所数" dataCellStyle="桁区切り"/>
    <tableColumn id="15" xr3:uid="{9C1AFB6C-F2B8-4FDC-9535-4E6648580651}" name="法人／構成比" dataDxfId="14"/>
    <tableColumn id="16" xr3:uid="{11FB911A-93D7-4A4F-9724-E7D2820B4539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86678B4E-0A89-4035-91F9-851C6353D715}" name="LTBL_11106" displayName="LTBL_11106" ref="B4:I20" totalsRowCount="1">
  <autoFilter ref="B4:I19" xr:uid="{86678B4E-0A89-4035-91F9-851C6353D715}"/>
  <tableColumns count="8">
    <tableColumn id="9" xr3:uid="{C3FB6E21-4334-4A95-BB03-BAA7A8BC6F99}" name="産業大分類" totalsRowLabel="合計" totalsRowDxfId="937"/>
    <tableColumn id="10" xr3:uid="{BCDEA0B5-78C3-42A5-87A3-73CB7519F912}" name="総数／事業所数" totalsRowFunction="custom" totalsRowDxfId="936" dataCellStyle="桁区切り" totalsRowCellStyle="桁区切り">
      <totalsRowFormula>SUM(LTBL_11106[総数／事業所数])</totalsRowFormula>
    </tableColumn>
    <tableColumn id="11" xr3:uid="{E52CA551-BF80-4B31-82E0-E06E3E074B64}" name="総数／構成比" dataDxfId="935"/>
    <tableColumn id="12" xr3:uid="{DF4CD0DE-6629-415D-94AC-04B834786E95}" name="個人／事業所数" totalsRowFunction="sum" totalsRowDxfId="934" dataCellStyle="桁区切り" totalsRowCellStyle="桁区切り"/>
    <tableColumn id="13" xr3:uid="{225889FE-A27B-434D-A3A2-96CEB4D3E92E}" name="個人／構成比" dataDxfId="933"/>
    <tableColumn id="14" xr3:uid="{DF2C4ECF-1EC9-4A30-8CE4-34E1B44D20E9}" name="法人／事業所数" totalsRowFunction="sum" totalsRowDxfId="932" dataCellStyle="桁区切り" totalsRowCellStyle="桁区切り"/>
    <tableColumn id="15" xr3:uid="{EE4ABE59-DE93-4C5A-B133-27D0719BC4CE}" name="法人／構成比" dataDxfId="931"/>
    <tableColumn id="16" xr3:uid="{4E678FD3-81DD-4321-8FE9-1E297E15C44D}" name="法人以外の団体／事業所数" totalsRowFunction="sum" totalsRowDxfId="930" dataCellStyle="桁区切り" totalsRowCellStyle="桁区切り"/>
  </tableColumns>
  <tableStyleInfo name="TableStyleMedium9" showFirstColumn="0" showLastColumn="0" showRowStripes="1" showColumnStripes="0"/>
</table>
</file>

<file path=xl/tables/table2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0" xr:uid="{8FACC8D2-176B-4593-839C-D06006C66E15}" name="LTBL_11465" displayName="LTBL_11465" ref="B4:I20" totalsRowCount="1">
  <autoFilter ref="B4:I19" xr:uid="{8FACC8D2-176B-4593-839C-D06006C66E15}"/>
  <tableColumns count="8">
    <tableColumn id="9" xr3:uid="{54092AEC-FFBB-4F7F-B9E4-4A803FFCFDBF}" name="産業大分類" totalsRowLabel="合計" totalsRowDxfId="13"/>
    <tableColumn id="10" xr3:uid="{7FBA6693-9C8B-4D9B-B343-476795D99BE8}" name="総数／事業所数" totalsRowFunction="custom" totalsRowDxfId="12" dataCellStyle="桁区切り" totalsRowCellStyle="桁区切り">
      <totalsRowFormula>SUM(LTBL_11465[総数／事業所数])</totalsRowFormula>
    </tableColumn>
    <tableColumn id="11" xr3:uid="{84911F80-8B43-45E2-85C1-C8CC26AFFF38}" name="総数／構成比" dataDxfId="11"/>
    <tableColumn id="12" xr3:uid="{D95B0679-9950-4821-8D91-440634432BB7}" name="個人／事業所数" totalsRowFunction="sum" totalsRowDxfId="10" dataCellStyle="桁区切り" totalsRowCellStyle="桁区切り"/>
    <tableColumn id="13" xr3:uid="{2FF528D6-5A27-4CC1-97AE-40CE261BD9B5}" name="個人／構成比" dataDxfId="9"/>
    <tableColumn id="14" xr3:uid="{D2768BA0-F815-4089-97D5-B652AFB2EDB2}" name="法人／事業所数" totalsRowFunction="sum" totalsRowDxfId="8" dataCellStyle="桁区切り" totalsRowCellStyle="桁区切り"/>
    <tableColumn id="15" xr3:uid="{F3E7E9AF-B8A8-44CF-95B7-3492A2D7AF9E}" name="法人／構成比" dataDxfId="7"/>
    <tableColumn id="16" xr3:uid="{1D30E25F-8F40-4121-A31A-313015E16A91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2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1" xr:uid="{F219CAE1-447D-4921-A634-B0E2C66D651A}" name="M_TABLE_11465" displayName="M_TABLE_11465" ref="B23:I43" totalsRowShown="0">
  <autoFilter ref="B23:I43" xr:uid="{F219CAE1-447D-4921-A634-B0E2C66D651A}"/>
  <tableColumns count="8">
    <tableColumn id="9" xr3:uid="{C7B05E5F-B71B-4DFD-AAE2-22B609CBA81D}" name="産業中分類上位２０"/>
    <tableColumn id="10" xr3:uid="{CA1A14BD-B34A-4552-8323-3E902E921716}" name="総数／事業所数" dataCellStyle="桁区切り"/>
    <tableColumn id="11" xr3:uid="{1B4F3AFD-0D06-4524-B368-800DDD0DB318}" name="総数／構成比" dataDxfId="5"/>
    <tableColumn id="12" xr3:uid="{1FB420FB-550C-4F02-8D3A-79A4F3223301}" name="個人／事業所数" dataCellStyle="桁区切り"/>
    <tableColumn id="13" xr3:uid="{BF458B65-0B40-46B7-BCB9-819004B946A7}" name="個人／構成比" dataDxfId="4"/>
    <tableColumn id="14" xr3:uid="{DE8844A7-6A5F-4693-A91B-EE172F49EC73}" name="法人／事業所数" dataCellStyle="桁区切り"/>
    <tableColumn id="15" xr3:uid="{D427A4DA-3FB2-481D-B484-EE2126CDADE2}" name="法人／構成比" dataDxfId="3"/>
    <tableColumn id="16" xr3:uid="{913C7C71-009E-48BD-8010-BAC750AD5C46}" name="法人以外の団体／事業所数" dataCellStyle="桁区切り"/>
  </tableColumns>
  <tableStyleInfo name="TableStyleMedium9" showFirstColumn="0" showLastColumn="0" showRowStripes="1" showColumnStripes="0"/>
</table>
</file>

<file path=xl/tables/table2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2" xr:uid="{EBB2292A-D2C2-426A-A396-BD4818019427}" name="S_TABLE_11465" displayName="S_TABLE_11465" ref="B46:I66" totalsRowShown="0">
  <autoFilter ref="B46:I66" xr:uid="{EBB2292A-D2C2-426A-A396-BD4818019427}"/>
  <tableColumns count="8">
    <tableColumn id="9" xr3:uid="{4C78B39E-874B-422A-B4E3-23DA61AC4F85}" name="産業小分類上位２０"/>
    <tableColumn id="10" xr3:uid="{EA493714-E7B4-4FEF-B142-BD3CF322D44D}" name="総数／事業所数" dataCellStyle="桁区切り"/>
    <tableColumn id="11" xr3:uid="{AA016EF1-0485-437F-8F4D-9C0C1C34D817}" name="総数／構成比" dataDxfId="2"/>
    <tableColumn id="12" xr3:uid="{81712454-D0E8-4373-A999-5CB79DA77F76}" name="個人／事業所数" dataCellStyle="桁区切り"/>
    <tableColumn id="13" xr3:uid="{85799041-7FE5-4EED-9347-F1B4D09E2CF6}" name="個人／構成比" dataDxfId="1"/>
    <tableColumn id="14" xr3:uid="{02CB0986-9C46-4970-9B1B-E292583DF473}" name="法人／事業所数" dataCellStyle="桁区切り"/>
    <tableColumn id="15" xr3:uid="{F81DD4A8-667D-4570-96D7-03794CCFF091}" name="法人／構成比" dataDxfId="0"/>
    <tableColumn id="16" xr3:uid="{3E01FF37-57FE-4AF8-B259-88609DCA0901}" name="法人以外の団体／事業所数" data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62E8C935-4128-45E8-AC88-4483DD0FCBB3}" name="M_TABLE_11106" displayName="M_TABLE_11106" ref="B23:I43" totalsRowShown="0">
  <autoFilter ref="B23:I43" xr:uid="{62E8C935-4128-45E8-AC88-4483DD0FCBB3}"/>
  <tableColumns count="8">
    <tableColumn id="9" xr3:uid="{629CF105-3974-4D57-B130-E482D23F9DA3}" name="産業中分類上位２０"/>
    <tableColumn id="10" xr3:uid="{8EF5F812-995E-40EB-B2B7-43ADA24E6B76}" name="総数／事業所数" dataCellStyle="桁区切り"/>
    <tableColumn id="11" xr3:uid="{B96AE1AC-B113-4FB6-8123-ECC09D5A7CF9}" name="総数／構成比" dataDxfId="929"/>
    <tableColumn id="12" xr3:uid="{80D63238-BBDF-4C84-9BFE-F87732C170FE}" name="個人／事業所数" dataCellStyle="桁区切り"/>
    <tableColumn id="13" xr3:uid="{408ACE1D-A600-4A61-8DDE-EC951460ADB1}" name="個人／構成比" dataDxfId="928"/>
    <tableColumn id="14" xr3:uid="{AEE13135-B99F-4B34-B8F6-A11B43496A3C}" name="法人／事業所数" dataCellStyle="桁区切り"/>
    <tableColumn id="15" xr3:uid="{900BD744-7232-4A19-8A5A-34126B3E36B3}" name="法人／構成比" dataDxfId="927"/>
    <tableColumn id="16" xr3:uid="{120AFFCE-3452-4AE3-9D83-8026D2D4F151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FA90A208-D4F8-422D-8C0F-E94DFC850DF9}" name="S_TABLE_11106" displayName="S_TABLE_11106" ref="B46:I66" totalsRowShown="0">
  <autoFilter ref="B46:I66" xr:uid="{FA90A208-D4F8-422D-8C0F-E94DFC850DF9}"/>
  <tableColumns count="8">
    <tableColumn id="9" xr3:uid="{6164941F-BFC6-4AE2-895B-D8AD41996A7E}" name="産業小分類上位２０"/>
    <tableColumn id="10" xr3:uid="{CBD1091D-C44F-42AE-ABD6-E9741D8320F7}" name="総数／事業所数" dataCellStyle="桁区切り"/>
    <tableColumn id="11" xr3:uid="{2648A64C-4D30-4835-A4A6-2E955722609B}" name="総数／構成比" dataDxfId="926"/>
    <tableColumn id="12" xr3:uid="{29DAFB39-6621-4822-88DB-3D9B121AB952}" name="個人／事業所数" dataCellStyle="桁区切り"/>
    <tableColumn id="13" xr3:uid="{E3540278-F6F7-4BE2-B95A-3AD0A617875C}" name="個人／構成比" dataDxfId="925"/>
    <tableColumn id="14" xr3:uid="{66B637E0-24D1-4346-9312-B9979E32294B}" name="法人／事業所数" dataCellStyle="桁区切り"/>
    <tableColumn id="15" xr3:uid="{620F8B7E-5816-4E87-9620-3BE79065738A}" name="法人／構成比" dataDxfId="924"/>
    <tableColumn id="16" xr3:uid="{23ED8B55-43F6-4C44-837D-511B941CC67C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28B53107-1DED-4958-A5A6-643DFA62B133}" name="LTBL_11107" displayName="LTBL_11107" ref="B4:I20" totalsRowCount="1">
  <autoFilter ref="B4:I19" xr:uid="{28B53107-1DED-4958-A5A6-643DFA62B133}"/>
  <tableColumns count="8">
    <tableColumn id="9" xr3:uid="{DD3519E2-0747-4BD3-B69A-E1E72325A912}" name="産業大分類" totalsRowLabel="合計" totalsRowDxfId="923"/>
    <tableColumn id="10" xr3:uid="{E65F6451-70F7-43C9-BA24-EB68C9166617}" name="総数／事業所数" totalsRowFunction="custom" totalsRowDxfId="922" dataCellStyle="桁区切り" totalsRowCellStyle="桁区切り">
      <totalsRowFormula>SUM(LTBL_11107[総数／事業所数])</totalsRowFormula>
    </tableColumn>
    <tableColumn id="11" xr3:uid="{5A6C82CA-393B-4483-B74E-F8F441D5D0FF}" name="総数／構成比" dataDxfId="921"/>
    <tableColumn id="12" xr3:uid="{BA397DE7-5476-44C4-B159-BBB353AA643C}" name="個人／事業所数" totalsRowFunction="sum" totalsRowDxfId="920" dataCellStyle="桁区切り" totalsRowCellStyle="桁区切り"/>
    <tableColumn id="13" xr3:uid="{34AF5D0F-0788-4E56-B551-463BE42923AA}" name="個人／構成比" dataDxfId="919"/>
    <tableColumn id="14" xr3:uid="{C08ACE43-AC30-43D6-9D4F-1FFE84F70C66}" name="法人／事業所数" totalsRowFunction="sum" totalsRowDxfId="918" dataCellStyle="桁区切り" totalsRowCellStyle="桁区切り"/>
    <tableColumn id="15" xr3:uid="{6F0E9069-B852-4161-B941-4F26C44319C8}" name="法人／構成比" dataDxfId="917"/>
    <tableColumn id="16" xr3:uid="{E4DD2DFB-C919-4B29-8CD7-61497D2E24B2}" name="法人以外の団体／事業所数" totalsRowFunction="sum" totalsRowDxfId="916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A1501548-DEEF-4F41-9BC6-F8FB610F6A04}" name="M_TABLE_11107" displayName="M_TABLE_11107" ref="B23:I45" totalsRowShown="0">
  <autoFilter ref="B23:I45" xr:uid="{A1501548-DEEF-4F41-9BC6-F8FB610F6A04}"/>
  <tableColumns count="8">
    <tableColumn id="9" xr3:uid="{9595F955-1469-45E5-8C39-BD422399CDF8}" name="産業中分類上位２０"/>
    <tableColumn id="10" xr3:uid="{FFC25D9A-E579-4610-BEB4-A3D7C7255176}" name="総数／事業所数" dataCellStyle="桁区切り"/>
    <tableColumn id="11" xr3:uid="{5A43282A-3710-422B-B7EB-0FBDD1645BB5}" name="総数／構成比" dataDxfId="915"/>
    <tableColumn id="12" xr3:uid="{630DA65B-EC67-417C-A170-C2938388EFF3}" name="個人／事業所数" dataCellStyle="桁区切り"/>
    <tableColumn id="13" xr3:uid="{99708B2A-51E6-4B2E-8368-07F3A14567A0}" name="個人／構成比" dataDxfId="914"/>
    <tableColumn id="14" xr3:uid="{01AAAD22-DC43-4B06-8D91-A84D6526669E}" name="法人／事業所数" dataCellStyle="桁区切り"/>
    <tableColumn id="15" xr3:uid="{5D871171-3818-4D00-A674-6C46DA1B6163}" name="法人／構成比" dataDxfId="913"/>
    <tableColumn id="16" xr3:uid="{896B77B3-A6E3-407A-92AC-CECBC553CCCC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8CEA9CF-7E0B-46A5-A2FB-24A10C312489}" name="S_TABLE_11107" displayName="S_TABLE_11107" ref="B48:I68" totalsRowShown="0">
  <autoFilter ref="B48:I68" xr:uid="{08CEA9CF-7E0B-46A5-A2FB-24A10C312489}"/>
  <tableColumns count="8">
    <tableColumn id="9" xr3:uid="{6E9C1BD9-05E0-47EF-BE06-B8A941252244}" name="産業小分類上位２０"/>
    <tableColumn id="10" xr3:uid="{DAB733F9-C457-4812-8160-87CB36FD1805}" name="総数／事業所数" dataCellStyle="桁区切り"/>
    <tableColumn id="11" xr3:uid="{4D6897F7-7AFE-455A-8BC1-9726E084D083}" name="総数／構成比" dataDxfId="912"/>
    <tableColumn id="12" xr3:uid="{63B21BFD-F256-4484-B534-D000744E8D89}" name="個人／事業所数" dataCellStyle="桁区切り"/>
    <tableColumn id="13" xr3:uid="{96A2164D-BB64-4FD8-88A0-BEF26D253074}" name="個人／構成比" dataDxfId="911"/>
    <tableColumn id="14" xr3:uid="{30D9585E-6B25-4151-8E48-201E903248FA}" name="法人／事業所数" dataCellStyle="桁区切り"/>
    <tableColumn id="15" xr3:uid="{3247CE84-0522-4E11-8934-F6383B1C7378}" name="法人／構成比" dataDxfId="910"/>
    <tableColumn id="16" xr3:uid="{77A6528E-7AB2-4451-B9A6-734E85AF26AF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8FEC96A6-C4E3-4074-9387-144C5AE1D603}" name="LTBL_11108" displayName="LTBL_11108" ref="B4:I20" totalsRowCount="1">
  <autoFilter ref="B4:I19" xr:uid="{8FEC96A6-C4E3-4074-9387-144C5AE1D603}"/>
  <tableColumns count="8">
    <tableColumn id="9" xr3:uid="{B717DC07-1C68-4462-88DF-176A35B97AD1}" name="産業大分類" totalsRowLabel="合計" totalsRowDxfId="909"/>
    <tableColumn id="10" xr3:uid="{C79BDB0B-99FB-486B-BDAF-C0C5BBE28296}" name="総数／事業所数" totalsRowFunction="custom" totalsRowDxfId="908" dataCellStyle="桁区切り" totalsRowCellStyle="桁区切り">
      <totalsRowFormula>SUM(LTBL_11108[総数／事業所数])</totalsRowFormula>
    </tableColumn>
    <tableColumn id="11" xr3:uid="{B44EED51-88C1-4E99-8559-5A1BDC99F455}" name="総数／構成比" dataDxfId="907"/>
    <tableColumn id="12" xr3:uid="{2D94B9E5-E1B3-4208-A0D9-080D9C08D851}" name="個人／事業所数" totalsRowFunction="sum" totalsRowDxfId="906" dataCellStyle="桁区切り" totalsRowCellStyle="桁区切り"/>
    <tableColumn id="13" xr3:uid="{6389D914-C0B2-4215-898C-B667BEAB478C}" name="個人／構成比" dataDxfId="905"/>
    <tableColumn id="14" xr3:uid="{F73C290F-23F1-4FC5-B745-FA4B7145DA35}" name="法人／事業所数" totalsRowFunction="sum" totalsRowDxfId="904" dataCellStyle="桁区切り" totalsRowCellStyle="桁区切り"/>
    <tableColumn id="15" xr3:uid="{09D39F83-1336-4EF5-830F-6AC92DC737CC}" name="法人／構成比" dataDxfId="903"/>
    <tableColumn id="16" xr3:uid="{2494DF55-7E02-489C-91C9-FD7CC2DFA5C1}" name="法人以外の団体／事業所数" totalsRowFunction="sum" totalsRowDxfId="902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E1E71F2-AF79-42DE-9741-6255E193364A}" name="M_TABLE_11108" displayName="M_TABLE_11108" ref="B23:I44" totalsRowShown="0">
  <autoFilter ref="B23:I44" xr:uid="{0E1E71F2-AF79-42DE-9741-6255E193364A}"/>
  <tableColumns count="8">
    <tableColumn id="9" xr3:uid="{A0B5C9F6-B66D-4188-8A7A-540B93432070}" name="産業中分類上位２０"/>
    <tableColumn id="10" xr3:uid="{61E587B1-2C4A-416C-B074-04248CADDD98}" name="総数／事業所数" dataCellStyle="桁区切り"/>
    <tableColumn id="11" xr3:uid="{7B86FC82-C8C4-4C07-8884-B83E8943AE90}" name="総数／構成比" dataDxfId="901"/>
    <tableColumn id="12" xr3:uid="{B3619DDF-A0C5-4EB2-9F7B-BAC36359A04E}" name="個人／事業所数" dataCellStyle="桁区切り"/>
    <tableColumn id="13" xr3:uid="{E496FB25-344F-4926-B07B-7E99C21AA0CE}" name="個人／構成比" dataDxfId="900"/>
    <tableColumn id="14" xr3:uid="{E4E28608-BBD0-430C-B1DE-F9CC9DC3F67B}" name="法人／事業所数" dataCellStyle="桁区切り"/>
    <tableColumn id="15" xr3:uid="{F0E98BB6-DCDC-4D20-BCB7-E97C3E29F8EF}" name="法人／構成比" dataDxfId="899"/>
    <tableColumn id="16" xr3:uid="{068E048A-8B18-4CA2-908C-C4D921F14948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88E643A-6A55-4630-9687-531591E396F3}" name="S_TABLE_11000" displayName="S_TABLE_11000" ref="B46:I66" totalsRowShown="0">
  <autoFilter ref="B46:I66" xr:uid="{788E643A-6A55-4630-9687-531591E396F3}"/>
  <tableColumns count="8">
    <tableColumn id="9" xr3:uid="{512F8002-FF8C-485E-9DFD-AA9374B05637}" name="産業小分類上位２０"/>
    <tableColumn id="10" xr3:uid="{A0A7B6F7-FD39-4046-88B7-523179F7702B}" name="総数／事業所数" dataCellStyle="桁区切り"/>
    <tableColumn id="11" xr3:uid="{F0BE753C-764F-4779-AE29-941152EF242F}" name="総数／構成比" dataDxfId="1024"/>
    <tableColumn id="12" xr3:uid="{4E73EED3-10A3-4B9D-946A-5A2582860895}" name="個人／事業所数" dataCellStyle="桁区切り"/>
    <tableColumn id="13" xr3:uid="{0B666A2B-9B3A-4B17-BAA8-F955A84CD302}" name="個人／構成比" dataDxfId="1023"/>
    <tableColumn id="14" xr3:uid="{E5E1D411-7F4E-400A-89C4-2361CB86573C}" name="法人／事業所数" dataCellStyle="桁区切り"/>
    <tableColumn id="15" xr3:uid="{8FFFA296-88AF-4E32-9EEC-2FD1753B7441}" name="法人／構成比" dataDxfId="1022"/>
    <tableColumn id="16" xr3:uid="{6D92BD9C-0A32-4EA2-BCE0-10908125DE7C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FCCCCF12-F8C1-45BB-AAD9-575C39E46019}" name="S_TABLE_11108" displayName="S_TABLE_11108" ref="B47:I67" totalsRowShown="0">
  <autoFilter ref="B47:I67" xr:uid="{FCCCCF12-F8C1-45BB-AAD9-575C39E46019}"/>
  <tableColumns count="8">
    <tableColumn id="9" xr3:uid="{CACB1129-4FCF-4CA7-8C7B-48BC8300FE9A}" name="産業小分類上位２０"/>
    <tableColumn id="10" xr3:uid="{B1C09E4B-7D3B-4836-AB31-9BCB5AE7F27B}" name="総数／事業所数" dataCellStyle="桁区切り"/>
    <tableColumn id="11" xr3:uid="{EFC1E2C3-2363-40C3-A417-50945C3E3B90}" name="総数／構成比" dataDxfId="898"/>
    <tableColumn id="12" xr3:uid="{63A81D83-4D49-4B00-8225-0C1DFCB7902A}" name="個人／事業所数" dataCellStyle="桁区切り"/>
    <tableColumn id="13" xr3:uid="{E5F7C21E-FEF2-4842-BE10-EA191FC95324}" name="個人／構成比" dataDxfId="897"/>
    <tableColumn id="14" xr3:uid="{52E0ED61-8E62-4D1D-8638-C05D63B5431B}" name="法人／事業所数" dataCellStyle="桁区切り"/>
    <tableColumn id="15" xr3:uid="{DF31A11D-D7DA-4E91-A348-E237E87554F3}" name="法人／構成比" dataDxfId="896"/>
    <tableColumn id="16" xr3:uid="{56902B1A-07D4-4394-A81E-C48658BF1660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6B790EDF-0D2E-4FC1-A3BF-2F79EBCEB77B}" name="LTBL_11109" displayName="LTBL_11109" ref="B4:I20" totalsRowCount="1">
  <autoFilter ref="B4:I19" xr:uid="{6B790EDF-0D2E-4FC1-A3BF-2F79EBCEB77B}"/>
  <tableColumns count="8">
    <tableColumn id="9" xr3:uid="{FDFAE26B-FE6A-46C8-A3AC-707C47E02CB3}" name="産業大分類" totalsRowLabel="合計" totalsRowDxfId="895"/>
    <tableColumn id="10" xr3:uid="{44AC7476-771F-4445-B685-DC3048987634}" name="総数／事業所数" totalsRowFunction="custom" totalsRowDxfId="894" dataCellStyle="桁区切り" totalsRowCellStyle="桁区切り">
      <totalsRowFormula>SUM(LTBL_11109[総数／事業所数])</totalsRowFormula>
    </tableColumn>
    <tableColumn id="11" xr3:uid="{C10EECD1-D47D-4CD7-A6BB-8D2931E69F99}" name="総数／構成比" dataDxfId="893"/>
    <tableColumn id="12" xr3:uid="{4A60D314-6C36-4B0C-8011-DB2C5283B2E2}" name="個人／事業所数" totalsRowFunction="sum" totalsRowDxfId="892" dataCellStyle="桁区切り" totalsRowCellStyle="桁区切り"/>
    <tableColumn id="13" xr3:uid="{2B6167A8-AFF9-4390-82D1-8C6CC7928839}" name="個人／構成比" dataDxfId="891"/>
    <tableColumn id="14" xr3:uid="{43C0AC8D-302F-487F-B02B-9F0E549DA19A}" name="法人／事業所数" totalsRowFunction="sum" totalsRowDxfId="890" dataCellStyle="桁区切り" totalsRowCellStyle="桁区切り"/>
    <tableColumn id="15" xr3:uid="{25C76F76-A07A-47F0-A294-751E6AEAB64A}" name="法人／構成比" dataDxfId="889"/>
    <tableColumn id="16" xr3:uid="{8F1F357F-021D-44AA-B978-6A3FA8AA9FE6}" name="法人以外の団体／事業所数" totalsRowFunction="sum" totalsRowDxfId="888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4A631EEA-F3BE-4CD9-B8ED-6010AE6DB2FB}" name="M_TABLE_11109" displayName="M_TABLE_11109" ref="B23:I43" totalsRowShown="0">
  <autoFilter ref="B23:I43" xr:uid="{4A631EEA-F3BE-4CD9-B8ED-6010AE6DB2FB}"/>
  <tableColumns count="8">
    <tableColumn id="9" xr3:uid="{81606BD6-8E13-40D1-A90B-E13C3B69EF16}" name="産業中分類上位２０"/>
    <tableColumn id="10" xr3:uid="{1BE5167B-0B0A-49CD-A202-4EC83B2FDB1F}" name="総数／事業所数" dataCellStyle="桁区切り"/>
    <tableColumn id="11" xr3:uid="{D592763E-6BEB-437B-990E-50C8B849BE20}" name="総数／構成比" dataDxfId="887"/>
    <tableColumn id="12" xr3:uid="{50620344-3671-4598-85AA-67DCA11F7C3C}" name="個人／事業所数" dataCellStyle="桁区切り"/>
    <tableColumn id="13" xr3:uid="{59243311-7963-402E-B378-928895B9E01C}" name="個人／構成比" dataDxfId="886"/>
    <tableColumn id="14" xr3:uid="{9E84E012-2FC4-4E90-A5C8-EF421F9E371F}" name="法人／事業所数" dataCellStyle="桁区切り"/>
    <tableColumn id="15" xr3:uid="{696B6F31-45F5-4B30-92D0-07FB90C789A8}" name="法人／構成比" dataDxfId="885"/>
    <tableColumn id="16" xr3:uid="{BB1423AC-642A-4FA1-8F84-1DFC52D3042F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15B5CBA0-A013-4BF2-8E63-2A629DA6D75A}" name="S_TABLE_11109" displayName="S_TABLE_11109" ref="B46:I67" totalsRowShown="0">
  <autoFilter ref="B46:I67" xr:uid="{15B5CBA0-A013-4BF2-8E63-2A629DA6D75A}"/>
  <tableColumns count="8">
    <tableColumn id="9" xr3:uid="{F81EAADA-C78C-453D-9C46-F25FBFBFEB7B}" name="産業小分類上位２０"/>
    <tableColumn id="10" xr3:uid="{FA8A3BD4-779F-451C-8EB3-13ADA06BF56E}" name="総数／事業所数" dataCellStyle="桁区切り"/>
    <tableColumn id="11" xr3:uid="{F34BAAEE-CD47-4D4E-8097-F804CA26F7DF}" name="総数／構成比" dataDxfId="884"/>
    <tableColumn id="12" xr3:uid="{04CCAFCD-7C75-4D5D-B692-4DF27333D755}" name="個人／事業所数" dataCellStyle="桁区切り"/>
    <tableColumn id="13" xr3:uid="{BE05EA05-C0CD-48ED-AC50-F54290B9D668}" name="個人／構成比" dataDxfId="883"/>
    <tableColumn id="14" xr3:uid="{950555D0-7EF1-439B-A0EA-2F363A24D3B7}" name="法人／事業所数" dataCellStyle="桁区切り"/>
    <tableColumn id="15" xr3:uid="{2BD52020-E826-4CBF-9011-0914312CD618}" name="法人／構成比" dataDxfId="882"/>
    <tableColumn id="16" xr3:uid="{77C8A0B6-37FD-41B3-BC30-8AE32B41B54C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2D59936B-221D-4C70-8564-A9B3B641181A}" name="LTBL_11110" displayName="LTBL_11110" ref="B4:I20" totalsRowCount="1">
  <autoFilter ref="B4:I19" xr:uid="{2D59936B-221D-4C70-8564-A9B3B641181A}"/>
  <tableColumns count="8">
    <tableColumn id="9" xr3:uid="{8C227E0A-0042-4EEA-B347-822E8DC9A463}" name="産業大分類" totalsRowLabel="合計" totalsRowDxfId="881"/>
    <tableColumn id="10" xr3:uid="{30CFEE21-1EF6-41E6-BC49-D9B8E04EAAD0}" name="総数／事業所数" totalsRowFunction="custom" totalsRowDxfId="880" dataCellStyle="桁区切り" totalsRowCellStyle="桁区切り">
      <totalsRowFormula>SUM(LTBL_11110[総数／事業所数])</totalsRowFormula>
    </tableColumn>
    <tableColumn id="11" xr3:uid="{CD0EF0F3-1CAF-45B4-9528-466A4EE2914B}" name="総数／構成比" dataDxfId="879"/>
    <tableColumn id="12" xr3:uid="{616852A5-7EBD-457A-92E6-73BA1242B7C0}" name="個人／事業所数" totalsRowFunction="sum" totalsRowDxfId="878" dataCellStyle="桁区切り" totalsRowCellStyle="桁区切り"/>
    <tableColumn id="13" xr3:uid="{4041F01F-460C-4380-8DCC-F75A0FA04D41}" name="個人／構成比" dataDxfId="877"/>
    <tableColumn id="14" xr3:uid="{F8C7F8A5-9C85-4B7B-9390-8FEF3249BA42}" name="法人／事業所数" totalsRowFunction="sum" totalsRowDxfId="876" dataCellStyle="桁区切り" totalsRowCellStyle="桁区切り"/>
    <tableColumn id="15" xr3:uid="{1C33B115-768D-4F43-A673-204382DDF0CD}" name="法人／構成比" dataDxfId="875"/>
    <tableColumn id="16" xr3:uid="{9E36FAFB-C3B9-4844-B8C7-19F42C9E04BB}" name="法人以外の団体／事業所数" totalsRowFunction="sum" totalsRowDxfId="874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62D7E255-F9CF-4A5B-99AE-EC7D96A917AF}" name="M_TABLE_11110" displayName="M_TABLE_11110" ref="B23:I43" totalsRowShown="0">
  <autoFilter ref="B23:I43" xr:uid="{62D7E255-F9CF-4A5B-99AE-EC7D96A917AF}"/>
  <tableColumns count="8">
    <tableColumn id="9" xr3:uid="{00206B85-4AE7-4FA2-AE1D-ED40A880E078}" name="産業中分類上位２０"/>
    <tableColumn id="10" xr3:uid="{0DFAAF69-DB4B-4687-BF3E-F86AE8C2A503}" name="総数／事業所数" dataCellStyle="桁区切り"/>
    <tableColumn id="11" xr3:uid="{0CBB906F-F178-43CC-85D1-C89345BAE476}" name="総数／構成比" dataDxfId="873"/>
    <tableColumn id="12" xr3:uid="{CE70B837-A52D-4B3C-9A73-AE0F1832C733}" name="個人／事業所数" dataCellStyle="桁区切り"/>
    <tableColumn id="13" xr3:uid="{83AE52C6-B3AB-4E43-8BDC-305333D2AAE2}" name="個人／構成比" dataDxfId="872"/>
    <tableColumn id="14" xr3:uid="{2D221FE7-B3F8-4238-BC40-590EDEFA2182}" name="法人／事業所数" dataCellStyle="桁区切り"/>
    <tableColumn id="15" xr3:uid="{475F0B98-A8FE-4BCE-8C0E-DF9A4C128E73}" name="法人／構成比" dataDxfId="871"/>
    <tableColumn id="16" xr3:uid="{250085EE-A699-4DC9-A6EC-B26E4D91C2AF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F47782B8-4DA8-41D3-BD98-E683F8202F0A}" name="S_TABLE_11110" displayName="S_TABLE_11110" ref="B46:I67" totalsRowShown="0">
  <autoFilter ref="B46:I67" xr:uid="{F47782B8-4DA8-41D3-BD98-E683F8202F0A}"/>
  <tableColumns count="8">
    <tableColumn id="9" xr3:uid="{94675FDC-791F-410E-A59E-1CE7136B6D50}" name="産業小分類上位２０"/>
    <tableColumn id="10" xr3:uid="{136798F1-DF2E-44C7-81DD-AD26B6883C7D}" name="総数／事業所数" dataCellStyle="桁区切り"/>
    <tableColumn id="11" xr3:uid="{7398EA6A-B616-4374-8672-F07288683E90}" name="総数／構成比" dataDxfId="870"/>
    <tableColumn id="12" xr3:uid="{5E08D29B-9DEE-4C49-AA57-2179CBFA6395}" name="個人／事業所数" dataCellStyle="桁区切り"/>
    <tableColumn id="13" xr3:uid="{B8F68CD7-B1B6-4475-834E-55147626F00E}" name="個人／構成比" dataDxfId="869"/>
    <tableColumn id="14" xr3:uid="{63E2CC2E-D823-4BC4-A53A-1C3D4DA4C5B5}" name="法人／事業所数" dataCellStyle="桁区切り"/>
    <tableColumn id="15" xr3:uid="{01B99D5E-B58D-4B18-8DC0-A929330AB9C9}" name="法人／構成比" dataDxfId="868"/>
    <tableColumn id="16" xr3:uid="{F0730F50-8856-4865-AF06-DA8BF21E1EA3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FB6E1EB6-7CF5-4EC3-97C6-BCE173FBAD2F}" name="LTBL_11201" displayName="LTBL_11201" ref="B4:I20" totalsRowCount="1">
  <autoFilter ref="B4:I19" xr:uid="{FB6E1EB6-7CF5-4EC3-97C6-BCE173FBAD2F}"/>
  <tableColumns count="8">
    <tableColumn id="9" xr3:uid="{042F2157-8127-4BC7-A504-CACE54CB271F}" name="産業大分類" totalsRowLabel="合計" totalsRowDxfId="867"/>
    <tableColumn id="10" xr3:uid="{E388D73E-87BB-408E-907F-1B16DCCE17D7}" name="総数／事業所数" totalsRowFunction="custom" totalsRowDxfId="866" dataCellStyle="桁区切り" totalsRowCellStyle="桁区切り">
      <totalsRowFormula>SUM(LTBL_11201[総数／事業所数])</totalsRowFormula>
    </tableColumn>
    <tableColumn id="11" xr3:uid="{3EBBC0C5-1ED9-4A3F-B7C5-55B04699D4BB}" name="総数／構成比" dataDxfId="865"/>
    <tableColumn id="12" xr3:uid="{99BF48B3-4BE3-4080-BAB3-0D6925B21B48}" name="個人／事業所数" totalsRowFunction="sum" totalsRowDxfId="864" dataCellStyle="桁区切り" totalsRowCellStyle="桁区切り"/>
    <tableColumn id="13" xr3:uid="{B0190099-D18B-41A1-94EE-21E328C19833}" name="個人／構成比" dataDxfId="863"/>
    <tableColumn id="14" xr3:uid="{8EE877BA-F94A-4B1D-9CE2-6834CD137FC4}" name="法人／事業所数" totalsRowFunction="sum" totalsRowDxfId="862" dataCellStyle="桁区切り" totalsRowCellStyle="桁区切り"/>
    <tableColumn id="15" xr3:uid="{91833465-B18D-43B8-A1E9-9FCFE271717E}" name="法人／構成比" dataDxfId="861"/>
    <tableColumn id="16" xr3:uid="{148511E0-9CE1-4812-B444-B47B2422F854}" name="法人以外の団体／事業所数" totalsRowFunction="sum" totalsRowDxfId="860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7C7B7CA3-1A4A-4B5F-8456-456E5D54CB98}" name="M_TABLE_11201" displayName="M_TABLE_11201" ref="B23:I43" totalsRowShown="0">
  <autoFilter ref="B23:I43" xr:uid="{7C7B7CA3-1A4A-4B5F-8456-456E5D54CB98}"/>
  <tableColumns count="8">
    <tableColumn id="9" xr3:uid="{31AD82C1-18FF-4231-B7BD-C62D917CAD1B}" name="産業中分類上位２０"/>
    <tableColumn id="10" xr3:uid="{B8DCAF9A-246B-4A01-9596-DC92038FDF7B}" name="総数／事業所数" dataCellStyle="桁区切り"/>
    <tableColumn id="11" xr3:uid="{7FD8556B-9D8C-42C5-82D5-5D13B3D561CC}" name="総数／構成比" dataDxfId="859"/>
    <tableColumn id="12" xr3:uid="{7C9B447E-8995-447D-BB81-DB5FBA841942}" name="個人／事業所数" dataCellStyle="桁区切り"/>
    <tableColumn id="13" xr3:uid="{40E26538-DAE2-4521-BFAD-95D090544405}" name="個人／構成比" dataDxfId="858"/>
    <tableColumn id="14" xr3:uid="{E97453B9-6733-42DC-8B7B-5BFE7B68CB56}" name="法人／事業所数" dataCellStyle="桁区切り"/>
    <tableColumn id="15" xr3:uid="{8B749E8D-215A-4AAA-81E4-C8EB123D3B72}" name="法人／構成比" dataDxfId="857"/>
    <tableColumn id="16" xr3:uid="{48E2EB3D-F9EF-4B34-A6B2-1E07A7259FD4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FCE7C7B8-F0F0-4BED-9010-511FC1E7BBAF}" name="S_TABLE_11201" displayName="S_TABLE_11201" ref="B46:I66" totalsRowShown="0">
  <autoFilter ref="B46:I66" xr:uid="{FCE7C7B8-F0F0-4BED-9010-511FC1E7BBAF}"/>
  <tableColumns count="8">
    <tableColumn id="9" xr3:uid="{D5C39004-DA14-401E-86C2-2A536FA534A3}" name="産業小分類上位２０"/>
    <tableColumn id="10" xr3:uid="{B5C67310-0C6A-4141-8EA1-E7967CC5DCCD}" name="総数／事業所数" dataCellStyle="桁区切り"/>
    <tableColumn id="11" xr3:uid="{2AEB4369-92A0-4C8B-B6FC-D694AB752C53}" name="総数／構成比" dataDxfId="856"/>
    <tableColumn id="12" xr3:uid="{E5D9476E-C919-4401-911C-95BE562B45DB}" name="個人／事業所数" dataCellStyle="桁区切り"/>
    <tableColumn id="13" xr3:uid="{0ED2B852-001B-4CB3-BB35-20357AA34631}" name="個人／構成比" dataDxfId="855"/>
    <tableColumn id="14" xr3:uid="{92165D53-77DF-4FE0-8003-C28E90F397E1}" name="法人／事業所数" dataCellStyle="桁区切り"/>
    <tableColumn id="15" xr3:uid="{4C811361-E418-4E81-A48D-68EC14C13DFA}" name="法人／構成比" dataDxfId="854"/>
    <tableColumn id="16" xr3:uid="{57CC81D2-0A5A-4CA1-B8E9-8F809805C8EF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EC4055D-DF21-4347-8714-E5B1985F6C00}" name="LTBL_11100" displayName="LTBL_11100" ref="B4:I20" totalsRowCount="1">
  <autoFilter ref="B4:I19" xr:uid="{9EC4055D-DF21-4347-8714-E5B1985F6C00}"/>
  <tableColumns count="8">
    <tableColumn id="9" xr3:uid="{B6BB6DAE-5BAB-4882-96DB-F77C946F1577}" name="産業大分類" totalsRowLabel="合計" totalsRowDxfId="1021"/>
    <tableColumn id="10" xr3:uid="{793F9A75-5006-4C7D-83D4-7116734F541F}" name="総数／事業所数" totalsRowFunction="custom" totalsRowDxfId="1020" dataCellStyle="桁区切り" totalsRowCellStyle="桁区切り">
      <totalsRowFormula>SUM(LTBL_11100[総数／事業所数])</totalsRowFormula>
    </tableColumn>
    <tableColumn id="11" xr3:uid="{B6BDDD42-88E5-409E-B911-25B1C77322E7}" name="総数／構成比" dataDxfId="1019"/>
    <tableColumn id="12" xr3:uid="{2F8B96B7-BDF1-4A3B-886B-5CDD65150060}" name="個人／事業所数" totalsRowFunction="sum" totalsRowDxfId="1018" dataCellStyle="桁区切り" totalsRowCellStyle="桁区切り"/>
    <tableColumn id="13" xr3:uid="{426B63FC-3535-4A11-AEF4-2AE2DB802D77}" name="個人／構成比" dataDxfId="1017"/>
    <tableColumn id="14" xr3:uid="{AE6BF7D2-6574-4102-A6B0-28BBF29ADD9A}" name="法人／事業所数" totalsRowFunction="sum" totalsRowDxfId="1016" dataCellStyle="桁区切り" totalsRowCellStyle="桁区切り"/>
    <tableColumn id="15" xr3:uid="{ACB21042-B1AE-4DF2-AB3A-A6A660DE3B5C}" name="法人／構成比" dataDxfId="1015"/>
    <tableColumn id="16" xr3:uid="{DD70104E-ED28-42D6-A4D4-4E867E61ECEA}" name="法人以外の団体／事業所数" totalsRowFunction="sum" totalsRowDxfId="1014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F6A23789-3D36-478F-9787-06BB5DD01569}" name="LTBL_11202" displayName="LTBL_11202" ref="B4:I20" totalsRowCount="1">
  <autoFilter ref="B4:I19" xr:uid="{F6A23789-3D36-478F-9787-06BB5DD01569}"/>
  <tableColumns count="8">
    <tableColumn id="9" xr3:uid="{29EFFAFC-BEED-4264-9DDB-B0E97B999430}" name="産業大分類" totalsRowLabel="合計" totalsRowDxfId="853"/>
    <tableColumn id="10" xr3:uid="{77B9E6B6-CE36-45A3-A312-0EF6C858A939}" name="総数／事業所数" totalsRowFunction="custom" totalsRowDxfId="852" dataCellStyle="桁区切り" totalsRowCellStyle="桁区切り">
      <totalsRowFormula>SUM(LTBL_11202[総数／事業所数])</totalsRowFormula>
    </tableColumn>
    <tableColumn id="11" xr3:uid="{EE8D2597-B232-4F94-89B2-7EB59B87BEDC}" name="総数／構成比" dataDxfId="851"/>
    <tableColumn id="12" xr3:uid="{1D02C094-98C6-438B-9F62-B84BE2E6F5FC}" name="個人／事業所数" totalsRowFunction="sum" totalsRowDxfId="850" dataCellStyle="桁区切り" totalsRowCellStyle="桁区切り"/>
    <tableColumn id="13" xr3:uid="{F8D1798D-F247-421D-AA1A-55AF873D314B}" name="個人／構成比" dataDxfId="849"/>
    <tableColumn id="14" xr3:uid="{D9A1385C-689E-4C79-B5C0-34C906103AEE}" name="法人／事業所数" totalsRowFunction="sum" totalsRowDxfId="848" dataCellStyle="桁区切り" totalsRowCellStyle="桁区切り"/>
    <tableColumn id="15" xr3:uid="{AF28B627-E745-483E-9586-243B62E69F0D}" name="法人／構成比" dataDxfId="847"/>
    <tableColumn id="16" xr3:uid="{C635F272-D1BF-48D9-9F8C-7BEDD13D1B5A}" name="法人以外の団体／事業所数" totalsRowFunction="sum" totalsRowDxfId="846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44AEFB5-57DD-4B40-8530-7000EA07E56E}" name="M_TABLE_11202" displayName="M_TABLE_11202" ref="B23:I43" totalsRowShown="0">
  <autoFilter ref="B23:I43" xr:uid="{744AEFB5-57DD-4B40-8530-7000EA07E56E}"/>
  <tableColumns count="8">
    <tableColumn id="9" xr3:uid="{64D25EF5-5850-4D55-A1B8-27E5C7651F59}" name="産業中分類上位２０"/>
    <tableColumn id="10" xr3:uid="{6F04F15A-8B1E-4853-B356-2CBDF7E64927}" name="総数／事業所数" dataCellStyle="桁区切り"/>
    <tableColumn id="11" xr3:uid="{33E35F2C-1346-4A4E-81C0-61CE06FA7ED8}" name="総数／構成比" dataDxfId="845"/>
    <tableColumn id="12" xr3:uid="{00C565EC-EF3D-4D13-921F-FD32916D3576}" name="個人／事業所数" dataCellStyle="桁区切り"/>
    <tableColumn id="13" xr3:uid="{A60034E0-F4F0-4A58-B722-92AE93FAB3C9}" name="個人／構成比" dataDxfId="844"/>
    <tableColumn id="14" xr3:uid="{05E177C8-7A4C-4747-9C77-2E290833D37B}" name="法人／事業所数" dataCellStyle="桁区切り"/>
    <tableColumn id="15" xr3:uid="{146E90AA-F5CE-4E45-A3AA-D775DDA33DAC}" name="法人／構成比" dataDxfId="843"/>
    <tableColumn id="16" xr3:uid="{542B187F-9B37-41C9-B76A-C86EF14B8AE7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C5B7E489-4BCC-4ED5-955A-7A6C44A2165E}" name="S_TABLE_11202" displayName="S_TABLE_11202" ref="B46:I66" totalsRowShown="0">
  <autoFilter ref="B46:I66" xr:uid="{C5B7E489-4BCC-4ED5-955A-7A6C44A2165E}"/>
  <tableColumns count="8">
    <tableColumn id="9" xr3:uid="{B4FF72C6-D348-410E-8A5E-1F0DF870A17B}" name="産業小分類上位２０"/>
    <tableColumn id="10" xr3:uid="{AB8025E8-27A4-44CE-9269-F92A9F3741B1}" name="総数／事業所数" dataCellStyle="桁区切り"/>
    <tableColumn id="11" xr3:uid="{4407D6A0-BD4C-465B-A3C4-5D950C9EC684}" name="総数／構成比" dataDxfId="842"/>
    <tableColumn id="12" xr3:uid="{224B4F77-BD4D-4304-81C3-29F38E298B60}" name="個人／事業所数" dataCellStyle="桁区切り"/>
    <tableColumn id="13" xr3:uid="{0BD52823-A83F-4E37-9753-016BDE8C606A}" name="個人／構成比" dataDxfId="841"/>
    <tableColumn id="14" xr3:uid="{93DB9CE7-5245-4E5E-B38A-72FB5F188E2E}" name="法人／事業所数" dataCellStyle="桁区切り"/>
    <tableColumn id="15" xr3:uid="{8B03DC05-E546-47B0-8285-2601DC17AFA1}" name="法人／構成比" dataDxfId="840"/>
    <tableColumn id="16" xr3:uid="{CA1C4B69-7ACD-4813-BB9A-E3D49B78AEF6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8A7EFB82-B2FA-4560-A69A-5A5795DB7306}" name="LTBL_11203" displayName="LTBL_11203" ref="B4:I20" totalsRowCount="1">
  <autoFilter ref="B4:I19" xr:uid="{8A7EFB82-B2FA-4560-A69A-5A5795DB7306}"/>
  <tableColumns count="8">
    <tableColumn id="9" xr3:uid="{E5157F6C-0F9E-4362-A6E1-EE8AB236757B}" name="産業大分類" totalsRowLabel="合計" totalsRowDxfId="839"/>
    <tableColumn id="10" xr3:uid="{A911E291-D33B-4AAB-AE53-93DAC53F43D7}" name="総数／事業所数" totalsRowFunction="custom" totalsRowDxfId="838" dataCellStyle="桁区切り" totalsRowCellStyle="桁区切り">
      <totalsRowFormula>SUM(LTBL_11203[総数／事業所数])</totalsRowFormula>
    </tableColumn>
    <tableColumn id="11" xr3:uid="{A89EE14A-980B-441A-A7A1-551A31100025}" name="総数／構成比" dataDxfId="837"/>
    <tableColumn id="12" xr3:uid="{0792DFEB-3B8B-4AD3-825F-6A837A420032}" name="個人／事業所数" totalsRowFunction="sum" totalsRowDxfId="836" dataCellStyle="桁区切り" totalsRowCellStyle="桁区切り"/>
    <tableColumn id="13" xr3:uid="{C67C918A-6653-4E2B-B353-080EF51296F2}" name="個人／構成比" dataDxfId="835"/>
    <tableColumn id="14" xr3:uid="{38ABC2A0-7798-4C7D-8DE4-6B7094A799CE}" name="法人／事業所数" totalsRowFunction="sum" totalsRowDxfId="834" dataCellStyle="桁区切り" totalsRowCellStyle="桁区切り"/>
    <tableColumn id="15" xr3:uid="{1FB35F11-168A-453B-83CD-1B4790ABC5A5}" name="法人／構成比" dataDxfId="833"/>
    <tableColumn id="16" xr3:uid="{E2842018-FE1B-4C28-9275-D0292135DA9C}" name="法人以外の団体／事業所数" totalsRowFunction="sum" totalsRowDxfId="832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1F3ACA06-AFC4-441A-8B38-F7670606D267}" name="M_TABLE_11203" displayName="M_TABLE_11203" ref="B23:I44" totalsRowShown="0">
  <autoFilter ref="B23:I44" xr:uid="{1F3ACA06-AFC4-441A-8B38-F7670606D267}"/>
  <tableColumns count="8">
    <tableColumn id="9" xr3:uid="{3D751ECF-6E9A-4E6B-8694-C5486BE07871}" name="産業中分類上位２０"/>
    <tableColumn id="10" xr3:uid="{96D305F5-8C0C-4118-8BED-677EA7049A3A}" name="総数／事業所数" dataCellStyle="桁区切り"/>
    <tableColumn id="11" xr3:uid="{2EC57DDE-9A6B-4077-B4CD-1270D3800FD3}" name="総数／構成比" dataDxfId="831"/>
    <tableColumn id="12" xr3:uid="{FFBB4732-2A57-445B-A448-16BB6532434B}" name="個人／事業所数" dataCellStyle="桁区切り"/>
    <tableColumn id="13" xr3:uid="{269471B3-E5E7-44AD-951D-E3189A229B58}" name="個人／構成比" dataDxfId="830"/>
    <tableColumn id="14" xr3:uid="{B6055D46-EC26-4EEC-81B5-F600DFB4D763}" name="法人／事業所数" dataCellStyle="桁区切り"/>
    <tableColumn id="15" xr3:uid="{0A49D20D-616C-4B00-9729-517819D1D9DC}" name="法人／構成比" dataDxfId="829"/>
    <tableColumn id="16" xr3:uid="{B55B4E2D-F7A4-48DA-808E-7923680BFD55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8BFD48A4-F6FF-4F0C-8EA5-8E2AAC68E10C}" name="S_TABLE_11203" displayName="S_TABLE_11203" ref="B47:I67" totalsRowShown="0">
  <autoFilter ref="B47:I67" xr:uid="{8BFD48A4-F6FF-4F0C-8EA5-8E2AAC68E10C}"/>
  <tableColumns count="8">
    <tableColumn id="9" xr3:uid="{E4F8CA89-B44E-48E7-8373-CFA8E54ED0EC}" name="産業小分類上位２０"/>
    <tableColumn id="10" xr3:uid="{85F7263D-E095-4E1A-AA3E-6EC21E7914E1}" name="総数／事業所数" dataCellStyle="桁区切り"/>
    <tableColumn id="11" xr3:uid="{3B51E35C-1F43-426A-AB60-2696B12A9B5D}" name="総数／構成比" dataDxfId="828"/>
    <tableColumn id="12" xr3:uid="{BDCEDF17-F1B0-47DE-8D8B-AAEEFE8FAADF}" name="個人／事業所数" dataCellStyle="桁区切り"/>
    <tableColumn id="13" xr3:uid="{887BBB2C-2A01-4368-AC87-3968E1066102}" name="個人／構成比" dataDxfId="827"/>
    <tableColumn id="14" xr3:uid="{5882007D-A1D4-4A9A-9795-F444E937AEEB}" name="法人／事業所数" dataCellStyle="桁区切り"/>
    <tableColumn id="15" xr3:uid="{8C8F84DD-AE32-4FFE-B6FE-981AA8B9CAA1}" name="法人／構成比" dataDxfId="826"/>
    <tableColumn id="16" xr3:uid="{508B1A88-C123-40F1-90C2-61382E05654B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E8F57F4B-11FA-4D5D-A418-03D8EE510810}" name="LTBL_11206" displayName="LTBL_11206" ref="B4:I20" totalsRowCount="1">
  <autoFilter ref="B4:I19" xr:uid="{E8F57F4B-11FA-4D5D-A418-03D8EE510810}"/>
  <tableColumns count="8">
    <tableColumn id="9" xr3:uid="{053F466A-952F-48F3-BA78-05CF8D63FF96}" name="産業大分類" totalsRowLabel="合計" totalsRowDxfId="825"/>
    <tableColumn id="10" xr3:uid="{D48B968E-1860-48AA-B806-15E031FAD947}" name="総数／事業所数" totalsRowFunction="custom" totalsRowDxfId="824" dataCellStyle="桁区切り" totalsRowCellStyle="桁区切り">
      <totalsRowFormula>SUM(LTBL_11206[総数／事業所数])</totalsRowFormula>
    </tableColumn>
    <tableColumn id="11" xr3:uid="{5DD1136E-AF40-4ABC-9FBF-361213E28279}" name="総数／構成比" dataDxfId="823"/>
    <tableColumn id="12" xr3:uid="{554418E2-3646-46F3-A1F9-5A65BFBA5ADC}" name="個人／事業所数" totalsRowFunction="sum" totalsRowDxfId="822" dataCellStyle="桁区切り" totalsRowCellStyle="桁区切り"/>
    <tableColumn id="13" xr3:uid="{0F7F4D06-254E-455C-881D-F819C4396283}" name="個人／構成比" dataDxfId="821"/>
    <tableColumn id="14" xr3:uid="{B3F9D130-4CE1-4F57-B8A9-825FB25AC997}" name="法人／事業所数" totalsRowFunction="sum" totalsRowDxfId="820" dataCellStyle="桁区切り" totalsRowCellStyle="桁区切り"/>
    <tableColumn id="15" xr3:uid="{C6C53B55-D58A-490D-B6F6-A85B0857613D}" name="法人／構成比" dataDxfId="819"/>
    <tableColumn id="16" xr3:uid="{873BE62F-D174-4BE6-BDCA-3FC309B60BBD}" name="法人以外の団体／事業所数" totalsRowFunction="sum" totalsRowDxfId="818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5468AB58-45A7-47B7-8EC9-EF43CA6E6871}" name="M_TABLE_11206" displayName="M_TABLE_11206" ref="B23:I46" totalsRowShown="0">
  <autoFilter ref="B23:I46" xr:uid="{5468AB58-45A7-47B7-8EC9-EF43CA6E6871}"/>
  <tableColumns count="8">
    <tableColumn id="9" xr3:uid="{368FF24F-5BE5-4EE3-9596-7BAF8EF13F49}" name="産業中分類上位２０"/>
    <tableColumn id="10" xr3:uid="{0190E047-0796-4619-91AB-52F665CA41F8}" name="総数／事業所数" dataCellStyle="桁区切り"/>
    <tableColumn id="11" xr3:uid="{54B8E9C1-6ED1-472B-9DCE-E359C623ECF6}" name="総数／構成比" dataDxfId="817"/>
    <tableColumn id="12" xr3:uid="{1F98AE77-293A-4FEE-B51B-E9F44E0C6017}" name="個人／事業所数" dataCellStyle="桁区切り"/>
    <tableColumn id="13" xr3:uid="{6DCB94A0-5E00-49A8-9289-CBB1F0AA1404}" name="個人／構成比" dataDxfId="816"/>
    <tableColumn id="14" xr3:uid="{02D52F5F-2C9B-4A93-9CF8-D319BA08BE41}" name="法人／事業所数" dataCellStyle="桁区切り"/>
    <tableColumn id="15" xr3:uid="{52ED8871-5825-4C1D-9A39-A96DE4EC37C9}" name="法人／構成比" dataDxfId="815"/>
    <tableColumn id="16" xr3:uid="{0DA6C14D-E0DB-4666-A276-24DCA324F68D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651CD72E-3F67-4737-AE74-2E77F41A3DFC}" name="S_TABLE_11206" displayName="S_TABLE_11206" ref="B49:I69" totalsRowShown="0">
  <autoFilter ref="B49:I69" xr:uid="{651CD72E-3F67-4737-AE74-2E77F41A3DFC}"/>
  <tableColumns count="8">
    <tableColumn id="9" xr3:uid="{AF60C71A-72C4-41A1-8667-A5E8351DEE44}" name="産業小分類上位２０"/>
    <tableColumn id="10" xr3:uid="{090A669F-1F5D-41E9-8884-DE14D35EBC40}" name="総数／事業所数" dataCellStyle="桁区切り"/>
    <tableColumn id="11" xr3:uid="{AED7BF04-BF2E-4252-9AB1-0B400D80F582}" name="総数／構成比" dataDxfId="814"/>
    <tableColumn id="12" xr3:uid="{32820F4C-4EAC-4DF8-B307-AE8BAAB6A9E4}" name="個人／事業所数" dataCellStyle="桁区切り"/>
    <tableColumn id="13" xr3:uid="{7B2E0708-BB17-408C-9B1D-A4AFD72DA3DA}" name="個人／構成比" dataDxfId="813"/>
    <tableColumn id="14" xr3:uid="{9A7CD869-798F-43CE-9FAA-40993FA6DCDC}" name="法人／事業所数" dataCellStyle="桁区切り"/>
    <tableColumn id="15" xr3:uid="{9D59C482-B2AC-4017-BDE2-E087DDB73147}" name="法人／構成比" dataDxfId="812"/>
    <tableColumn id="16" xr3:uid="{19399FA9-BB95-4688-A48B-A5B840524433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D2099BB3-FF2F-44D3-B861-ADE3E0C6FDE7}" name="LTBL_11207" displayName="LTBL_11207" ref="B4:I20" totalsRowCount="1">
  <autoFilter ref="B4:I19" xr:uid="{D2099BB3-FF2F-44D3-B861-ADE3E0C6FDE7}"/>
  <tableColumns count="8">
    <tableColumn id="9" xr3:uid="{F98688E7-75D7-4889-B9F7-D76CFEE848A1}" name="産業大分類" totalsRowLabel="合計" totalsRowDxfId="811"/>
    <tableColumn id="10" xr3:uid="{F6DFB39F-8CC0-4AB5-B1E0-70948A8992BE}" name="総数／事業所数" totalsRowFunction="custom" totalsRowDxfId="810" dataCellStyle="桁区切り" totalsRowCellStyle="桁区切り">
      <totalsRowFormula>SUM(LTBL_11207[総数／事業所数])</totalsRowFormula>
    </tableColumn>
    <tableColumn id="11" xr3:uid="{689EF191-57D2-4D03-BB2D-1F08D8D2952F}" name="総数／構成比" dataDxfId="809"/>
    <tableColumn id="12" xr3:uid="{D7491743-94BE-4C4A-AEC9-DA067766FBBE}" name="個人／事業所数" totalsRowFunction="sum" totalsRowDxfId="808" dataCellStyle="桁区切り" totalsRowCellStyle="桁区切り"/>
    <tableColumn id="13" xr3:uid="{61591058-3952-4987-88FF-A61B9082F042}" name="個人／構成比" dataDxfId="807"/>
    <tableColumn id="14" xr3:uid="{34D5917D-9713-4D16-B8B8-BA126054B61D}" name="法人／事業所数" totalsRowFunction="sum" totalsRowDxfId="806" dataCellStyle="桁区切り" totalsRowCellStyle="桁区切り"/>
    <tableColumn id="15" xr3:uid="{53EB93D2-DADF-4E67-891F-50A509048B4A}" name="法人／構成比" dataDxfId="805"/>
    <tableColumn id="16" xr3:uid="{95BDCAB8-0A47-49C6-86A0-96877CA13A72}" name="法人以外の団体／事業所数" totalsRowFunction="sum" totalsRowDxfId="804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5D5B44D-29CD-4192-908F-07102127B971}" name="M_TABLE_11100" displayName="M_TABLE_11100" ref="B23:I43" totalsRowShown="0">
  <autoFilter ref="B23:I43" xr:uid="{E5D5B44D-29CD-4192-908F-07102127B971}"/>
  <tableColumns count="8">
    <tableColumn id="9" xr3:uid="{BC5EB957-A694-4C2E-8471-5FE1674A05B3}" name="産業中分類上位２０"/>
    <tableColumn id="10" xr3:uid="{034787D8-0896-4CC0-A6E5-E7C98936BE33}" name="総数／事業所数" dataCellStyle="桁区切り"/>
    <tableColumn id="11" xr3:uid="{DE0DBB4D-0985-4733-9ECF-2A2EE73A3C5D}" name="総数／構成比" dataDxfId="1013"/>
    <tableColumn id="12" xr3:uid="{89D1543B-622A-4E9B-A3BC-AEF6959071A5}" name="個人／事業所数" dataCellStyle="桁区切り"/>
    <tableColumn id="13" xr3:uid="{EBF702BA-8B99-4FB4-9FCA-3065ECF32AA7}" name="個人／構成比" dataDxfId="1012"/>
    <tableColumn id="14" xr3:uid="{7320C132-5FBA-4DED-8DE7-4777627B17FD}" name="法人／事業所数" dataCellStyle="桁区切り"/>
    <tableColumn id="15" xr3:uid="{89B69FAD-B766-411F-BBC5-4F5A316F2965}" name="法人／構成比" dataDxfId="1011"/>
    <tableColumn id="16" xr3:uid="{7D5C94C9-C970-4905-B3A5-9C8BE1ECC844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6E63ADB5-8B21-49FC-81E9-EC698EE45C73}" name="M_TABLE_11207" displayName="M_TABLE_11207" ref="B23:I43" totalsRowShown="0">
  <autoFilter ref="B23:I43" xr:uid="{6E63ADB5-8B21-49FC-81E9-EC698EE45C73}"/>
  <tableColumns count="8">
    <tableColumn id="9" xr3:uid="{B9ED4A31-897F-40F4-9413-654C4A883DEA}" name="産業中分類上位２０"/>
    <tableColumn id="10" xr3:uid="{CF2C9758-F26E-4545-83F5-C4691BEAA87F}" name="総数／事業所数" dataCellStyle="桁区切り"/>
    <tableColumn id="11" xr3:uid="{6229F507-6A01-47E4-B793-885ABF37DF0F}" name="総数／構成比" dataDxfId="803"/>
    <tableColumn id="12" xr3:uid="{AC62249A-0254-4BB5-B782-37192912944F}" name="個人／事業所数" dataCellStyle="桁区切り"/>
    <tableColumn id="13" xr3:uid="{E396E5D8-4DB4-4908-A62B-1F523F3BD614}" name="個人／構成比" dataDxfId="802"/>
    <tableColumn id="14" xr3:uid="{B08F52F9-C121-434D-8C3C-B8B7F0D8BFB6}" name="法人／事業所数" dataCellStyle="桁区切り"/>
    <tableColumn id="15" xr3:uid="{96EEA1D3-B406-445A-9696-B9106002F29C}" name="法人／構成比" dataDxfId="801"/>
    <tableColumn id="16" xr3:uid="{5C3800A7-56C5-4A1F-B6F3-2422F05F75FC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B1E6357D-FF5B-42BB-889D-0E191994B736}" name="S_TABLE_11207" displayName="S_TABLE_11207" ref="B46:I69" totalsRowShown="0">
  <autoFilter ref="B46:I69" xr:uid="{B1E6357D-FF5B-42BB-889D-0E191994B736}"/>
  <tableColumns count="8">
    <tableColumn id="9" xr3:uid="{99ACD01F-8AF6-4C1A-ADF2-A0175C39C8A6}" name="産業小分類上位２０"/>
    <tableColumn id="10" xr3:uid="{88DD2E98-E457-458C-BCD1-30BFB2B71055}" name="総数／事業所数" dataCellStyle="桁区切り"/>
    <tableColumn id="11" xr3:uid="{3003996D-D0E7-4E88-9208-59DD6E06ECF4}" name="総数／構成比" dataDxfId="800"/>
    <tableColumn id="12" xr3:uid="{BC19FC07-B102-46A3-8284-2D6ABFC7C665}" name="個人／事業所数" dataCellStyle="桁区切り"/>
    <tableColumn id="13" xr3:uid="{8864CC9E-F68B-40AA-9074-776CF85EACA8}" name="個人／構成比" dataDxfId="799"/>
    <tableColumn id="14" xr3:uid="{E74B66F1-BAB3-4314-BF3E-4BF3CD946320}" name="法人／事業所数" dataCellStyle="桁区切り"/>
    <tableColumn id="15" xr3:uid="{C75BF482-4553-4F36-ABF8-ACF2F04DF246}" name="法人／構成比" dataDxfId="798"/>
    <tableColumn id="16" xr3:uid="{D47DACFC-9402-42AC-8E0B-C8BEC73420F4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66839534-69AC-4C8E-904E-B50439F5DA12}" name="LTBL_11208" displayName="LTBL_11208" ref="B4:I20" totalsRowCount="1">
  <autoFilter ref="B4:I19" xr:uid="{66839534-69AC-4C8E-904E-B50439F5DA12}"/>
  <tableColumns count="8">
    <tableColumn id="9" xr3:uid="{FBE27B7D-88D3-4A59-A830-A71D9B9B7014}" name="産業大分類" totalsRowLabel="合計" totalsRowDxfId="797"/>
    <tableColumn id="10" xr3:uid="{A3A920AD-6D97-4E07-9EB0-FC7550B8632E}" name="総数／事業所数" totalsRowFunction="custom" totalsRowDxfId="796" dataCellStyle="桁区切り" totalsRowCellStyle="桁区切り">
      <totalsRowFormula>SUM(LTBL_11208[総数／事業所数])</totalsRowFormula>
    </tableColumn>
    <tableColumn id="11" xr3:uid="{D13BC02C-F547-4D72-B6B5-D85B08036AAC}" name="総数／構成比" dataDxfId="795"/>
    <tableColumn id="12" xr3:uid="{080DB025-FC35-4946-8ABC-1AE68168073B}" name="個人／事業所数" totalsRowFunction="sum" totalsRowDxfId="794" dataCellStyle="桁区切り" totalsRowCellStyle="桁区切り"/>
    <tableColumn id="13" xr3:uid="{27D7F1DB-8635-46A7-AE98-D48CE97B48A0}" name="個人／構成比" dataDxfId="793"/>
    <tableColumn id="14" xr3:uid="{EBBCF6B9-34C6-48BB-BD68-8ACF09F6F9C5}" name="法人／事業所数" totalsRowFunction="sum" totalsRowDxfId="792" dataCellStyle="桁区切り" totalsRowCellStyle="桁区切り"/>
    <tableColumn id="15" xr3:uid="{CB5453FB-25D3-452C-A1F0-D33AFB59295D}" name="法人／構成比" dataDxfId="791"/>
    <tableColumn id="16" xr3:uid="{F4273651-3565-4E0B-B01A-4B533D036DF8}" name="法人以外の団体／事業所数" totalsRowFunction="sum" totalsRowDxfId="790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80716B49-83E7-4A95-B5B4-E0988E9B8F93}" name="M_TABLE_11208" displayName="M_TABLE_11208" ref="B23:I44" totalsRowShown="0">
  <autoFilter ref="B23:I44" xr:uid="{80716B49-83E7-4A95-B5B4-E0988E9B8F93}"/>
  <tableColumns count="8">
    <tableColumn id="9" xr3:uid="{1121CA38-C38E-4A46-AE4C-3B8FE864989F}" name="産業中分類上位２０"/>
    <tableColumn id="10" xr3:uid="{82F1EC54-63B3-45EB-9CC7-91D458A3DCB2}" name="総数／事業所数" dataCellStyle="桁区切り"/>
    <tableColumn id="11" xr3:uid="{DA2C346D-065C-4715-9109-E8ABB902857E}" name="総数／構成比" dataDxfId="789"/>
    <tableColumn id="12" xr3:uid="{F365A358-E8E6-4243-86CC-E4046A55C056}" name="個人／事業所数" dataCellStyle="桁区切り"/>
    <tableColumn id="13" xr3:uid="{287A8187-77F9-4669-AAC0-1D50D3A63C7B}" name="個人／構成比" dataDxfId="788"/>
    <tableColumn id="14" xr3:uid="{CAF633DE-DB47-4C44-BF08-6F04C54AB932}" name="法人／事業所数" dataCellStyle="桁区切り"/>
    <tableColumn id="15" xr3:uid="{0989BAC7-20FE-4C2C-BDEF-094EF92D64CF}" name="法人／構成比" dataDxfId="787"/>
    <tableColumn id="16" xr3:uid="{5B54145E-B7AD-4804-9F1E-D1FE7B1406E3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E01AE48D-0BEE-456B-BBEC-A0E12D824F41}" name="S_TABLE_11208" displayName="S_TABLE_11208" ref="B47:I67" totalsRowShown="0">
  <autoFilter ref="B47:I67" xr:uid="{E01AE48D-0BEE-456B-BBEC-A0E12D824F41}"/>
  <tableColumns count="8">
    <tableColumn id="9" xr3:uid="{6B13F78F-358A-4025-B4B6-91CF654DCD2C}" name="産業小分類上位２０"/>
    <tableColumn id="10" xr3:uid="{09F1A5BE-B848-4240-A21A-6C1C72BDB37D}" name="総数／事業所数" dataCellStyle="桁区切り"/>
    <tableColumn id="11" xr3:uid="{9BB4B794-8C71-4306-A37C-A3E14BD023E4}" name="総数／構成比" dataDxfId="786"/>
    <tableColumn id="12" xr3:uid="{BCB2C3DC-9EAD-4561-A063-866F6B4F6A3F}" name="個人／事業所数" dataCellStyle="桁区切り"/>
    <tableColumn id="13" xr3:uid="{1E563A0D-A135-4E6E-86CE-279C431CC222}" name="個人／構成比" dataDxfId="785"/>
    <tableColumn id="14" xr3:uid="{AB8A592C-77CF-4B1E-B4B9-AA36944CBC3F}" name="法人／事業所数" dataCellStyle="桁区切り"/>
    <tableColumn id="15" xr3:uid="{624FC746-B72D-487E-B49B-D3777AB9568B}" name="法人／構成比" dataDxfId="784"/>
    <tableColumn id="16" xr3:uid="{06BF64E5-9BC2-459E-A1F6-0B9111389811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165946BC-0E50-48E8-AFD2-9BEB1D669D37}" name="LTBL_11209" displayName="LTBL_11209" ref="B4:I20" totalsRowCount="1">
  <autoFilter ref="B4:I19" xr:uid="{165946BC-0E50-48E8-AFD2-9BEB1D669D37}"/>
  <tableColumns count="8">
    <tableColumn id="9" xr3:uid="{F1E1F5F2-CAFD-4F88-9C62-A6CB1E824687}" name="産業大分類" totalsRowLabel="合計" totalsRowDxfId="783"/>
    <tableColumn id="10" xr3:uid="{D2AD8864-0EA9-4120-AC90-D772D37E784F}" name="総数／事業所数" totalsRowFunction="custom" totalsRowDxfId="782" dataCellStyle="桁区切り" totalsRowCellStyle="桁区切り">
      <totalsRowFormula>SUM(LTBL_11209[総数／事業所数])</totalsRowFormula>
    </tableColumn>
    <tableColumn id="11" xr3:uid="{7AD1747D-F7EA-477A-AB1C-E44377C5F1D5}" name="総数／構成比" dataDxfId="781"/>
    <tableColumn id="12" xr3:uid="{75649115-0900-4235-90D9-5C7EA2BE0A9A}" name="個人／事業所数" totalsRowFunction="sum" totalsRowDxfId="780" dataCellStyle="桁区切り" totalsRowCellStyle="桁区切り"/>
    <tableColumn id="13" xr3:uid="{60C0E306-3776-4F7C-A1AA-F3CF902638F7}" name="個人／構成比" dataDxfId="779"/>
    <tableColumn id="14" xr3:uid="{8BAF9F97-0280-4F48-9526-B22641E3A8B6}" name="法人／事業所数" totalsRowFunction="sum" totalsRowDxfId="778" dataCellStyle="桁区切り" totalsRowCellStyle="桁区切り"/>
    <tableColumn id="15" xr3:uid="{888766C7-358B-4B12-B521-3B47AB3A5D57}" name="法人／構成比" dataDxfId="777"/>
    <tableColumn id="16" xr3:uid="{37FFF51C-1204-4040-99CC-D009395CF295}" name="法人以外の団体／事業所数" totalsRowFunction="sum" totalsRowDxfId="776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A87F7939-5555-4794-868D-C0EB5D5A8C35}" name="M_TABLE_11209" displayName="M_TABLE_11209" ref="B23:I44" totalsRowShown="0">
  <autoFilter ref="B23:I44" xr:uid="{A87F7939-5555-4794-868D-C0EB5D5A8C35}"/>
  <tableColumns count="8">
    <tableColumn id="9" xr3:uid="{AAC63F16-B52B-44D7-A53D-E1E210083795}" name="産業中分類上位２０"/>
    <tableColumn id="10" xr3:uid="{D9E80CE6-9FAE-4238-938D-8539CAD53E32}" name="総数／事業所数" dataCellStyle="桁区切り"/>
    <tableColumn id="11" xr3:uid="{38C05F83-2E1D-466E-8C3D-67BB974C84EB}" name="総数／構成比" dataDxfId="775"/>
    <tableColumn id="12" xr3:uid="{8E367ED0-6FE3-4CAD-9193-3B8E610E2065}" name="個人／事業所数" dataCellStyle="桁区切り"/>
    <tableColumn id="13" xr3:uid="{97AA8259-6EDA-48F6-9026-A2B8FB129B11}" name="個人／構成比" dataDxfId="774"/>
    <tableColumn id="14" xr3:uid="{826C5641-5B93-4BFB-8096-AAE13AE2967E}" name="法人／事業所数" dataCellStyle="桁区切り"/>
    <tableColumn id="15" xr3:uid="{5EB0933A-FEEE-458C-96A0-EC5591054CFE}" name="法人／構成比" dataDxfId="773"/>
    <tableColumn id="16" xr3:uid="{EDEA8650-4CBF-49C1-8013-1B7EBEB3448F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A5B96BB1-5B1B-40D4-B145-0ABD2F561C5F}" name="S_TABLE_11209" displayName="S_TABLE_11209" ref="B47:I67" totalsRowShown="0">
  <autoFilter ref="B47:I67" xr:uid="{A5B96BB1-5B1B-40D4-B145-0ABD2F561C5F}"/>
  <tableColumns count="8">
    <tableColumn id="9" xr3:uid="{EDCE5D06-724C-4319-938D-FF61E7F2FD28}" name="産業小分類上位２０"/>
    <tableColumn id="10" xr3:uid="{4890B110-1167-44CB-B3A0-0E94E9F5991C}" name="総数／事業所数" dataCellStyle="桁区切り"/>
    <tableColumn id="11" xr3:uid="{C5C67BC4-5C9C-48BF-8826-14A22192BF55}" name="総数／構成比" dataDxfId="772"/>
    <tableColumn id="12" xr3:uid="{940442A3-FED5-43FA-888C-20C88918BF49}" name="個人／事業所数" dataCellStyle="桁区切り"/>
    <tableColumn id="13" xr3:uid="{9ACBF6AE-C919-434B-B850-2C80CB6D00A9}" name="個人／構成比" dataDxfId="771"/>
    <tableColumn id="14" xr3:uid="{770219F7-830E-4297-8E75-B6EA99416216}" name="法人／事業所数" dataCellStyle="桁区切り"/>
    <tableColumn id="15" xr3:uid="{4B76FAFB-F1CF-4078-9E93-9DF57DCFB7C6}" name="法人／構成比" dataDxfId="770"/>
    <tableColumn id="16" xr3:uid="{4DB3010F-9BD3-4DCD-ADB8-05D5C5ED71C3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ABA4516-4221-4D2A-B140-9C988254F0AE}" name="LTBL_11210" displayName="LTBL_11210" ref="B4:I20" totalsRowCount="1">
  <autoFilter ref="B4:I19" xr:uid="{0ABA4516-4221-4D2A-B140-9C988254F0AE}"/>
  <tableColumns count="8">
    <tableColumn id="9" xr3:uid="{DDA92D1D-F3CA-4734-9386-FA07620A22BE}" name="産業大分類" totalsRowLabel="合計" totalsRowDxfId="769"/>
    <tableColumn id="10" xr3:uid="{7F654AFB-7D48-48AF-B519-EA3C8F58AA51}" name="総数／事業所数" totalsRowFunction="custom" totalsRowDxfId="768" dataCellStyle="桁区切り" totalsRowCellStyle="桁区切り">
      <totalsRowFormula>SUM(LTBL_11210[総数／事業所数])</totalsRowFormula>
    </tableColumn>
    <tableColumn id="11" xr3:uid="{FAA06AB7-F4F2-47DF-8A48-D8F8D50FE49E}" name="総数／構成比" dataDxfId="767"/>
    <tableColumn id="12" xr3:uid="{4C6F435F-C2E0-4F1F-91BD-2D5C0272814F}" name="個人／事業所数" totalsRowFunction="sum" totalsRowDxfId="766" dataCellStyle="桁区切り" totalsRowCellStyle="桁区切り"/>
    <tableColumn id="13" xr3:uid="{EB946EEE-7A10-4BBC-B9C0-3F49E180BE44}" name="個人／構成比" dataDxfId="765"/>
    <tableColumn id="14" xr3:uid="{F2904AE2-2775-4BEA-A3A5-1D25BA060203}" name="法人／事業所数" totalsRowFunction="sum" totalsRowDxfId="764" dataCellStyle="桁区切り" totalsRowCellStyle="桁区切り"/>
    <tableColumn id="15" xr3:uid="{05C41815-6B25-4497-87AF-510A180409A1}" name="法人／構成比" dataDxfId="763"/>
    <tableColumn id="16" xr3:uid="{48708A3D-94E0-4997-9691-D4179458C6AD}" name="法人以外の団体／事業所数" totalsRowFunction="sum" totalsRowDxfId="762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3D18E797-9C67-4D1B-A8CC-870E7E7C36BA}" name="M_TABLE_11210" displayName="M_TABLE_11210" ref="B23:I43" totalsRowShown="0">
  <autoFilter ref="B23:I43" xr:uid="{3D18E797-9C67-4D1B-A8CC-870E7E7C36BA}"/>
  <tableColumns count="8">
    <tableColumn id="9" xr3:uid="{C782BDC1-0191-45D9-9839-A4D5201AD7BC}" name="産業中分類上位２０"/>
    <tableColumn id="10" xr3:uid="{F2AF37B2-68EF-497F-BA7E-B3B920E669BB}" name="総数／事業所数" dataCellStyle="桁区切り"/>
    <tableColumn id="11" xr3:uid="{8267B893-5FC6-4988-BD9C-91A50099227C}" name="総数／構成比" dataDxfId="761"/>
    <tableColumn id="12" xr3:uid="{CC2C3C16-1EAE-4578-9DF9-6DEE2020B3FE}" name="個人／事業所数" dataCellStyle="桁区切り"/>
    <tableColumn id="13" xr3:uid="{728BFE74-762B-487A-A06D-6C737944ECED}" name="個人／構成比" dataDxfId="760"/>
    <tableColumn id="14" xr3:uid="{A8FED8D9-2331-48DD-9539-DAA42220B0EE}" name="法人／事業所数" dataCellStyle="桁区切り"/>
    <tableColumn id="15" xr3:uid="{1B8CC38C-05AB-4EF8-B842-727B66860086}" name="法人／構成比" dataDxfId="759"/>
    <tableColumn id="16" xr3:uid="{B1A5DC0B-9237-4725-91B5-B1C96C6CD4E2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8ECA577-FADE-41ED-B19C-330D12741369}" name="S_TABLE_11100" displayName="S_TABLE_11100" ref="B46:I66" totalsRowShown="0">
  <autoFilter ref="B46:I66" xr:uid="{18ECA577-FADE-41ED-B19C-330D12741369}"/>
  <tableColumns count="8">
    <tableColumn id="9" xr3:uid="{A94BBB30-3944-45FB-87A0-57428CC61E7A}" name="産業小分類上位２０"/>
    <tableColumn id="10" xr3:uid="{DAEAB347-30B5-4A1E-831E-4C83F9515832}" name="総数／事業所数" dataCellStyle="桁区切り"/>
    <tableColumn id="11" xr3:uid="{0862C08A-E22C-4A25-9DC2-A89B02B6F7B4}" name="総数／構成比" dataDxfId="1010"/>
    <tableColumn id="12" xr3:uid="{8CD6EA23-83E5-4DB7-932E-843E167F6D0A}" name="個人／事業所数" dataCellStyle="桁区切り"/>
    <tableColumn id="13" xr3:uid="{21F8E2CB-C194-40B7-B664-9BF514185711}" name="個人／構成比" dataDxfId="1009"/>
    <tableColumn id="14" xr3:uid="{4A989B5F-6672-4D3E-8AC8-7A6319BCA5DC}" name="法人／事業所数" dataCellStyle="桁区切り"/>
    <tableColumn id="15" xr3:uid="{CD258676-FAD1-4B68-AD8E-E2B696A2AD68}" name="法人／構成比" dataDxfId="1008"/>
    <tableColumn id="16" xr3:uid="{04587861-B809-4507-976C-E8E59ACD602A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89D9BEF9-0545-46BD-A70E-AF84A21E925D}" name="S_TABLE_11210" displayName="S_TABLE_11210" ref="B46:I66" totalsRowShown="0">
  <autoFilter ref="B46:I66" xr:uid="{89D9BEF9-0545-46BD-A70E-AF84A21E925D}"/>
  <tableColumns count="8">
    <tableColumn id="9" xr3:uid="{F40AAD51-7EEC-4C7B-8DD9-5D6E00306D75}" name="産業小分類上位２０"/>
    <tableColumn id="10" xr3:uid="{8162C76F-510F-464E-8A51-A8007F7CE5FF}" name="総数／事業所数" dataCellStyle="桁区切り"/>
    <tableColumn id="11" xr3:uid="{07FA1472-2C61-44FC-A473-8BDC3C96E0FA}" name="総数／構成比" dataDxfId="758"/>
    <tableColumn id="12" xr3:uid="{6B6AFC28-AF13-45C9-B762-60237FFD4449}" name="個人／事業所数" dataCellStyle="桁区切り"/>
    <tableColumn id="13" xr3:uid="{E2156A11-35E0-4C10-819A-A0FF86594225}" name="個人／構成比" dataDxfId="757"/>
    <tableColumn id="14" xr3:uid="{6F14B6AC-BDEC-4B57-A811-063305B9483A}" name="法人／事業所数" dataCellStyle="桁区切り"/>
    <tableColumn id="15" xr3:uid="{9A7DD5D8-8955-439B-81C8-656401F9A310}" name="法人／構成比" dataDxfId="756"/>
    <tableColumn id="16" xr3:uid="{5026D8AE-1B72-456A-91F9-7E28DD2EC1AD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4DB07BCD-3CA2-43B8-A66A-643152605B83}" name="LTBL_11211" displayName="LTBL_11211" ref="B4:I20" totalsRowCount="1">
  <autoFilter ref="B4:I19" xr:uid="{4DB07BCD-3CA2-43B8-A66A-643152605B83}"/>
  <tableColumns count="8">
    <tableColumn id="9" xr3:uid="{953D8949-7717-4592-BE05-26BC717E803B}" name="産業大分類" totalsRowLabel="合計" totalsRowDxfId="755"/>
    <tableColumn id="10" xr3:uid="{D3D67883-708E-4364-ACE9-ADD57996C0A4}" name="総数／事業所数" totalsRowFunction="custom" totalsRowDxfId="754" dataCellStyle="桁区切り" totalsRowCellStyle="桁区切り">
      <totalsRowFormula>SUM(LTBL_11211[総数／事業所数])</totalsRowFormula>
    </tableColumn>
    <tableColumn id="11" xr3:uid="{1D055B9F-08B6-4129-BEDC-22A545EDFCE0}" name="総数／構成比" dataDxfId="753"/>
    <tableColumn id="12" xr3:uid="{972D32AC-A97D-4696-AEFE-68AE635406C3}" name="個人／事業所数" totalsRowFunction="sum" totalsRowDxfId="752" dataCellStyle="桁区切り" totalsRowCellStyle="桁区切り"/>
    <tableColumn id="13" xr3:uid="{60076ECF-7615-4708-A7C4-3FC78E75DFF1}" name="個人／構成比" dataDxfId="751"/>
    <tableColumn id="14" xr3:uid="{54B39010-21A0-4618-893B-5243869F5B9C}" name="法人／事業所数" totalsRowFunction="sum" totalsRowDxfId="750" dataCellStyle="桁区切り" totalsRowCellStyle="桁区切り"/>
    <tableColumn id="15" xr3:uid="{4E5AD64B-8094-4115-883D-2806714AC5FA}" name="法人／構成比" dataDxfId="749"/>
    <tableColumn id="16" xr3:uid="{DA018150-DD82-4CA0-97FC-B0408F6EA5FE}" name="法人以外の団体／事業所数" totalsRowFunction="sum" totalsRowDxfId="748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DC52A99D-ECF9-4662-BDBD-B0811E038963}" name="M_TABLE_11211" displayName="M_TABLE_11211" ref="B23:I43" totalsRowShown="0">
  <autoFilter ref="B23:I43" xr:uid="{DC52A99D-ECF9-4662-BDBD-B0811E038963}"/>
  <tableColumns count="8">
    <tableColumn id="9" xr3:uid="{6B20D84F-D632-489A-90BD-05C13927B402}" name="産業中分類上位２０"/>
    <tableColumn id="10" xr3:uid="{FD14EF83-2633-4452-A67F-8D8892C60C19}" name="総数／事業所数" dataCellStyle="桁区切り"/>
    <tableColumn id="11" xr3:uid="{23EA65E5-496F-4D46-A21D-528BDEC0BBB0}" name="総数／構成比" dataDxfId="747"/>
    <tableColumn id="12" xr3:uid="{F80E2BDD-DDB8-4F72-9DB3-BFF0E7D040BF}" name="個人／事業所数" dataCellStyle="桁区切り"/>
    <tableColumn id="13" xr3:uid="{73B682AC-8EE5-411E-93E3-509CC1B7AC90}" name="個人／構成比" dataDxfId="746"/>
    <tableColumn id="14" xr3:uid="{1BCB3B71-053E-4374-9968-7544424DA77F}" name="法人／事業所数" dataCellStyle="桁区切り"/>
    <tableColumn id="15" xr3:uid="{DFBB5B7F-13E7-4252-9A6C-6ED8E92AAE3D}" name="法人／構成比" dataDxfId="745"/>
    <tableColumn id="16" xr3:uid="{E12FD9DC-D36F-4D51-B9BF-B0C57873FB0C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4DDCAF6F-B8B0-47E8-AA0C-E28B9C99010C}" name="S_TABLE_11211" displayName="S_TABLE_11211" ref="B46:I66" totalsRowShown="0">
  <autoFilter ref="B46:I66" xr:uid="{4DDCAF6F-B8B0-47E8-AA0C-E28B9C99010C}"/>
  <tableColumns count="8">
    <tableColumn id="9" xr3:uid="{DD806DA0-8921-4943-9EF2-DDAF75AFC941}" name="産業小分類上位２０"/>
    <tableColumn id="10" xr3:uid="{F5CFA49F-B498-4C6E-865A-76279B4E8A16}" name="総数／事業所数" dataCellStyle="桁区切り"/>
    <tableColumn id="11" xr3:uid="{D54878C1-FCDC-4F9D-862C-3F5A3543ABDC}" name="総数／構成比" dataDxfId="744"/>
    <tableColumn id="12" xr3:uid="{3F99966A-6919-4FC5-83B2-E59FDB979369}" name="個人／事業所数" dataCellStyle="桁区切り"/>
    <tableColumn id="13" xr3:uid="{2440BF8F-4094-4942-AADF-7517F842C3AE}" name="個人／構成比" dataDxfId="743"/>
    <tableColumn id="14" xr3:uid="{4D17BCDF-BA26-47A5-A9D3-ED37217DBBD7}" name="法人／事業所数" dataCellStyle="桁区切り"/>
    <tableColumn id="15" xr3:uid="{37AE3E9B-0346-4D03-8CDC-DA3C79C75B31}" name="法人／構成比" dataDxfId="742"/>
    <tableColumn id="16" xr3:uid="{F0F9455C-EE53-4687-8605-EF5B420C0BC3}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71427AFA-ABB9-4344-A812-CCB59D688ED0}" name="LTBL_11212" displayName="LTBL_11212" ref="B4:I20" totalsRowCount="1">
  <autoFilter ref="B4:I19" xr:uid="{71427AFA-ABB9-4344-A812-CCB59D688ED0}"/>
  <tableColumns count="8">
    <tableColumn id="9" xr3:uid="{81A163B9-B0BB-4E4D-933F-811082E5DB01}" name="産業大分類" totalsRowLabel="合計" totalsRowDxfId="741"/>
    <tableColumn id="10" xr3:uid="{203324CB-655B-41A2-946F-69A916A9CF3E}" name="総数／事業所数" totalsRowFunction="custom" totalsRowDxfId="740" dataCellStyle="桁区切り" totalsRowCellStyle="桁区切り">
      <totalsRowFormula>SUM(LTBL_11212[総数／事業所数])</totalsRowFormula>
    </tableColumn>
    <tableColumn id="11" xr3:uid="{CAE9B806-9253-4249-BBB1-FA06F4705915}" name="総数／構成比" dataDxfId="739"/>
    <tableColumn id="12" xr3:uid="{FAE7471B-72E5-440F-A3FC-34CA6E53449F}" name="個人／事業所数" totalsRowFunction="sum" totalsRowDxfId="738" dataCellStyle="桁区切り" totalsRowCellStyle="桁区切り"/>
    <tableColumn id="13" xr3:uid="{4E2DB11C-2694-40FE-81BA-8FA78AC5ADF6}" name="個人／構成比" dataDxfId="737"/>
    <tableColumn id="14" xr3:uid="{B5510BBA-8B1C-4894-8751-FCA48B36DA79}" name="法人／事業所数" totalsRowFunction="sum" totalsRowDxfId="736" dataCellStyle="桁区切り" totalsRowCellStyle="桁区切り"/>
    <tableColumn id="15" xr3:uid="{20B40C3E-F449-4F31-9C4D-C83191D783DA}" name="法人／構成比" dataDxfId="735"/>
    <tableColumn id="16" xr3:uid="{14335D62-50E9-4971-AE58-AFB786A0032C}" name="法人以外の団体／事業所数" totalsRowFunction="sum" totalsRowDxfId="734" dataCellStyle="桁区切り" totalsRow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C95D6BC4-D8F1-4550-A58F-7310F1E2B331}" name="M_TABLE_11212" displayName="M_TABLE_11212" ref="B23:I43" totalsRowShown="0">
  <autoFilter ref="B23:I43" xr:uid="{C95D6BC4-D8F1-4550-A58F-7310F1E2B331}"/>
  <tableColumns count="8">
    <tableColumn id="9" xr3:uid="{A5C3392F-51F7-493C-BBF2-5A9D67B8FB2D}" name="産業中分類上位２０"/>
    <tableColumn id="10" xr3:uid="{741A3A48-5F33-4161-8128-FC0DCF5F0CAB}" name="総数／事業所数" dataCellStyle="桁区切り"/>
    <tableColumn id="11" xr3:uid="{91A05C43-D775-41A8-B49D-BAEB77AE5E34}" name="総数／構成比" dataDxfId="733"/>
    <tableColumn id="12" xr3:uid="{CEA86CDB-E368-4F80-A586-F8035117E078}" name="個人／事業所数" dataCellStyle="桁区切り"/>
    <tableColumn id="13" xr3:uid="{A1635475-AB7F-4DFB-B13F-C09FA858FBB9}" name="個人／構成比" dataDxfId="732"/>
    <tableColumn id="14" xr3:uid="{BE3E29E8-02AB-472C-9104-395B11672E16}" name="法人／事業所数" dataCellStyle="桁区切り"/>
    <tableColumn id="15" xr3:uid="{661CDC98-C145-4B64-8861-F7DBFBC6863B}" name="法人／構成比" dataDxfId="731"/>
    <tableColumn id="16" xr3:uid="{2530D716-18F1-48B1-9E09-AC1C1D079E02}" name="法人以外の団体／事業所数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B893BDC5-2088-469E-82CE-C4A3454CF80E}" name="S_TABLE_11212" displayName="S_TABLE_11212" ref="B46:I68" totalsRowShown="0">
  <autoFilter ref="B46:I68" xr:uid="{B893BDC5-2088-469E-82CE-C4A3454CF80E}"/>
  <tableColumns count="8">
    <tableColumn id="9" xr3:uid="{94822531-95BC-4833-844E-28B38D77825A}" name="産業小分類上位２０"/>
    <tableColumn id="10" xr3:uid="{6960B403-7481-487B-8338-81A7A216ECF7}" name="総数／事業所数" dataCellStyle="桁区切り"/>
    <tableColumn id="11" xr3:uid="{F7096254-CE91-4D03-B510-0FA3C11046AD}" name="総数／構成比" dataDxfId="730"/>
    <tableColumn id="12" xr3:uid="{4C23B6C6-160D-479F-91FF-FF93498210BF}" name="個人／事業所数" dataCellStyle="桁区切り"/>
    <tableColumn id="13" xr3:uid="{57FC7AA5-0328-4208-98CC-C0274D14BF85}" name="個人／構成比" dataDxfId="729"/>
    <tableColumn id="14" xr3:uid="{6DE1FBBC-ADB1-4BAE-95B4-C30E80610735}" name="法人／事業所数" dataCellStyle="桁区切り"/>
    <tableColumn id="15" xr3:uid="{DF4E4E84-B7C8-498C-8F55-7387764F0E7E}" name="法人／構成比" dataDxfId="728"/>
    <tableColumn id="16" xr3:uid="{6D70EB77-29C3-4847-B664-A2F206D70E6A}" name="法人以外の団体／事業所数" dataCellStyle="桁区切り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ADFD3DB6-5E37-4E00-8028-D7787AD7ED8E}" name="LTBL_11214" displayName="LTBL_11214" ref="B4:I20" totalsRowCount="1">
  <autoFilter ref="B4:I19" xr:uid="{ADFD3DB6-5E37-4E00-8028-D7787AD7ED8E}"/>
  <tableColumns count="8">
    <tableColumn id="9" xr3:uid="{86426BAC-56DA-4ED6-96B6-F67C5BFD5F00}" name="産業大分類" totalsRowLabel="合計" totalsRowDxfId="727"/>
    <tableColumn id="10" xr3:uid="{9FFDB348-987D-4CD6-AF8F-11FDD0905E29}" name="総数／事業所数" totalsRowFunction="custom" totalsRowDxfId="726" dataCellStyle="桁区切り" totalsRowCellStyle="桁区切り">
      <totalsRowFormula>SUM(LTBL_11214[総数／事業所数])</totalsRowFormula>
    </tableColumn>
    <tableColumn id="11" xr3:uid="{5A09D742-C552-49FF-8378-7A7FF089F2A4}" name="総数／構成比" dataDxfId="725"/>
    <tableColumn id="12" xr3:uid="{EBCBACC7-CC25-47B1-AF65-FB701163782A}" name="個人／事業所数" totalsRowFunction="sum" totalsRowDxfId="724" dataCellStyle="桁区切り" totalsRowCellStyle="桁区切り"/>
    <tableColumn id="13" xr3:uid="{AFBD9E87-D27B-467C-9181-C50D4C1A91E1}" name="個人／構成比" dataDxfId="723"/>
    <tableColumn id="14" xr3:uid="{B951C09C-B7E8-4D04-BC25-8AAA8838A2D5}" name="法人／事業所数" totalsRowFunction="sum" totalsRowDxfId="722" dataCellStyle="桁区切り" totalsRowCellStyle="桁区切り"/>
    <tableColumn id="15" xr3:uid="{015A35DB-252F-4146-974E-969F60462629}" name="法人／構成比" dataDxfId="721"/>
    <tableColumn id="16" xr3:uid="{A2B4BD25-DC08-4384-B319-A2DA417D6ABE}" name="法人以外の団体／事業所数" totalsRowFunction="sum" totalsRowDxfId="720" dataCellStyle="桁区切り" totalsRow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85C7ACB3-81EF-4C46-94CF-2DAB9EEBC8FB}" name="M_TABLE_11214" displayName="M_TABLE_11214" ref="B23:I44" totalsRowShown="0">
  <autoFilter ref="B23:I44" xr:uid="{85C7ACB3-81EF-4C46-94CF-2DAB9EEBC8FB}"/>
  <tableColumns count="8">
    <tableColumn id="9" xr3:uid="{D1A76D51-4351-4AAD-B478-8E2D1C82128C}" name="産業中分類上位２０"/>
    <tableColumn id="10" xr3:uid="{836D993D-C821-4AB3-B560-8B387E63E811}" name="総数／事業所数" dataCellStyle="桁区切り"/>
    <tableColumn id="11" xr3:uid="{45473C2F-E578-48E9-BE1B-365FA4D1A269}" name="総数／構成比" dataDxfId="719"/>
    <tableColumn id="12" xr3:uid="{95831CE1-2B0D-44DE-BAEC-7C3525A8025F}" name="個人／事業所数" dataCellStyle="桁区切り"/>
    <tableColumn id="13" xr3:uid="{C0E9E571-128F-4866-BD9F-3C4A0FF3ED00}" name="個人／構成比" dataDxfId="718"/>
    <tableColumn id="14" xr3:uid="{C1D4970A-F0F0-4754-A93E-E26C834F2563}" name="法人／事業所数" dataCellStyle="桁区切り"/>
    <tableColumn id="15" xr3:uid="{4B1D90D7-BB7E-4DD1-9AA5-F2E32E981D42}" name="法人／構成比" dataDxfId="717"/>
    <tableColumn id="16" xr3:uid="{AF1658A5-111D-4302-88E5-DD79C25B9407}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AE6E14CF-34DE-417D-BA8B-6AB62434906F}" name="S_TABLE_11214" displayName="S_TABLE_11214" ref="B47:I67" totalsRowShown="0">
  <autoFilter ref="B47:I67" xr:uid="{AE6E14CF-34DE-417D-BA8B-6AB62434906F}"/>
  <tableColumns count="8">
    <tableColumn id="9" xr3:uid="{E20C4342-58F5-4489-886B-A4F8C1F78CF0}" name="産業小分類上位２０"/>
    <tableColumn id="10" xr3:uid="{19DB2490-3722-4BA1-9808-783462C6348C}" name="総数／事業所数" dataCellStyle="桁区切り"/>
    <tableColumn id="11" xr3:uid="{46E2A41B-AC2F-49CA-9B0E-D30ABF8F7548}" name="総数／構成比" dataDxfId="716"/>
    <tableColumn id="12" xr3:uid="{FE97E66F-E9A8-40A7-892A-9A5BC37E5CA4}" name="個人／事業所数" dataCellStyle="桁区切り"/>
    <tableColumn id="13" xr3:uid="{AB37E3D0-B756-417D-ACC5-803009C67F86}" name="個人／構成比" dataDxfId="715"/>
    <tableColumn id="14" xr3:uid="{A5CAE192-2D88-4DC2-8E8E-4895109BB95A}" name="法人／事業所数" dataCellStyle="桁区切り"/>
    <tableColumn id="15" xr3:uid="{8BB68E62-A4A6-49D4-8891-76D65D1F4101}" name="法人／構成比" dataDxfId="714"/>
    <tableColumn id="16" xr3:uid="{876A7B1C-163F-43FA-B9BF-66E7026379BD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F649A09-2AAA-415F-BA25-C1744217BAC1}" name="LTBL_11101" displayName="LTBL_11101" ref="B4:I20" totalsRowCount="1">
  <autoFilter ref="B4:I19" xr:uid="{BF649A09-2AAA-415F-BA25-C1744217BAC1}"/>
  <tableColumns count="8">
    <tableColumn id="9" xr3:uid="{B800D921-6B39-4761-B160-7E5B37266E4F}" name="産業大分類" totalsRowLabel="合計" totalsRowDxfId="1007"/>
    <tableColumn id="10" xr3:uid="{C88FE14C-1252-46DA-8793-27E73CC0AA50}" name="総数／事業所数" totalsRowFunction="custom" totalsRowDxfId="1006" dataCellStyle="桁区切り" totalsRowCellStyle="桁区切り">
      <totalsRowFormula>SUM(LTBL_11101[総数／事業所数])</totalsRowFormula>
    </tableColumn>
    <tableColumn id="11" xr3:uid="{C9400D0B-D669-4F83-B370-B48AAFE60746}" name="総数／構成比" dataDxfId="1005"/>
    <tableColumn id="12" xr3:uid="{A081F064-F1B4-4251-9895-7FC5D9049F58}" name="個人／事業所数" totalsRowFunction="sum" totalsRowDxfId="1004" dataCellStyle="桁区切り" totalsRowCellStyle="桁区切り"/>
    <tableColumn id="13" xr3:uid="{FA6B008C-724C-4505-873D-C231EFE997C9}" name="個人／構成比" dataDxfId="1003"/>
    <tableColumn id="14" xr3:uid="{D1EF9FDF-8BEB-4403-B9A9-ACDC1C6B90B0}" name="法人／事業所数" totalsRowFunction="sum" totalsRowDxfId="1002" dataCellStyle="桁区切り" totalsRowCellStyle="桁区切り"/>
    <tableColumn id="15" xr3:uid="{0FAECD7E-93F2-4CB8-8EBB-DC632E858C20}" name="法人／構成比" dataDxfId="1001"/>
    <tableColumn id="16" xr3:uid="{D409D308-8013-455E-B3F2-44B5AF2B75C1}" name="法人以外の団体／事業所数" totalsRowFunction="sum" totalsRowDxfId="1000" dataCellStyle="桁区切り" totalsRow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E1916A89-CFB7-4067-8496-56ED1EEBF2BF}" name="LTBL_11215" displayName="LTBL_11215" ref="B4:I20" totalsRowCount="1">
  <autoFilter ref="B4:I19" xr:uid="{E1916A89-CFB7-4067-8496-56ED1EEBF2BF}"/>
  <tableColumns count="8">
    <tableColumn id="9" xr3:uid="{6608713A-F9E7-4AA6-BAB0-D1F69E7E4B03}" name="産業大分類" totalsRowLabel="合計" totalsRowDxfId="713"/>
    <tableColumn id="10" xr3:uid="{A1647C6B-5C5A-43BA-99B2-BA455C8B1528}" name="総数／事業所数" totalsRowFunction="custom" totalsRowDxfId="712" dataCellStyle="桁区切り" totalsRowCellStyle="桁区切り">
      <totalsRowFormula>SUM(LTBL_11215[総数／事業所数])</totalsRowFormula>
    </tableColumn>
    <tableColumn id="11" xr3:uid="{D9BDAA95-F815-42F3-8B04-3BD3E0886BBB}" name="総数／構成比" dataDxfId="711"/>
    <tableColumn id="12" xr3:uid="{24A8E38D-9C5A-4863-868E-C8B9C99ACBC1}" name="個人／事業所数" totalsRowFunction="sum" totalsRowDxfId="710" dataCellStyle="桁区切り" totalsRowCellStyle="桁区切り"/>
    <tableColumn id="13" xr3:uid="{03355255-0EF7-4084-AA84-95B4E317F163}" name="個人／構成比" dataDxfId="709"/>
    <tableColumn id="14" xr3:uid="{5F2630B9-5465-4BF2-81E1-470924D2572D}" name="法人／事業所数" totalsRowFunction="sum" totalsRowDxfId="708" dataCellStyle="桁区切り" totalsRowCellStyle="桁区切り"/>
    <tableColumn id="15" xr3:uid="{D0AC05B1-5DD0-496E-866D-D101928AF1D9}" name="法人／構成比" dataDxfId="707"/>
    <tableColumn id="16" xr3:uid="{ADBE9CCC-6595-4520-BC43-E59D457208EE}" name="法人以外の団体／事業所数" totalsRowFunction="sum" totalsRowDxfId="706" dataCellStyle="桁区切り" totalsRowCellStyle="桁区切り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AB76A27B-9383-4651-9D2F-21C8BAAEE8D1}" name="M_TABLE_11215" displayName="M_TABLE_11215" ref="B23:I43" totalsRowShown="0">
  <autoFilter ref="B23:I43" xr:uid="{AB76A27B-9383-4651-9D2F-21C8BAAEE8D1}"/>
  <tableColumns count="8">
    <tableColumn id="9" xr3:uid="{658CA3CA-9155-487D-87AB-E0372ABE9A12}" name="産業中分類上位２０"/>
    <tableColumn id="10" xr3:uid="{FAC9E5B3-2144-46A3-9951-EF56CA94F454}" name="総数／事業所数" dataCellStyle="桁区切り"/>
    <tableColumn id="11" xr3:uid="{1CA89474-9B85-443E-B4F7-B236D725C467}" name="総数／構成比" dataDxfId="705"/>
    <tableColumn id="12" xr3:uid="{ED87D846-2CF1-44C6-A508-5C18CB7C8C14}" name="個人／事業所数" dataCellStyle="桁区切り"/>
    <tableColumn id="13" xr3:uid="{3E29D964-0A54-4F6D-928E-B5B1CDB08467}" name="個人／構成比" dataDxfId="704"/>
    <tableColumn id="14" xr3:uid="{21D31156-A61C-4D5C-B628-498D8A567CA7}" name="法人／事業所数" dataCellStyle="桁区切り"/>
    <tableColumn id="15" xr3:uid="{18EFC8A0-1ACF-4409-A647-DBF83D93A963}" name="法人／構成比" dataDxfId="703"/>
    <tableColumn id="16" xr3:uid="{C7DE90A6-1041-4D36-BC0C-FC7069053F53}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30223682-8C08-49AF-BBFC-5D8DD2FC1E73}" name="S_TABLE_11215" displayName="S_TABLE_11215" ref="B46:I66" totalsRowShown="0">
  <autoFilter ref="B46:I66" xr:uid="{30223682-8C08-49AF-BBFC-5D8DD2FC1E73}"/>
  <tableColumns count="8">
    <tableColumn id="9" xr3:uid="{027C8CA4-7B57-49E2-BC2A-A3B766348DB7}" name="産業小分類上位２０"/>
    <tableColumn id="10" xr3:uid="{FD9AADA0-0D64-4A61-A486-C6BFB2FF8B52}" name="総数／事業所数" dataCellStyle="桁区切り"/>
    <tableColumn id="11" xr3:uid="{E5A8791C-1B33-466B-A2F6-CDEF8BF4889D}" name="総数／構成比" dataDxfId="702"/>
    <tableColumn id="12" xr3:uid="{6271FD97-16AC-4DAD-A5A2-453DA0FE9D6A}" name="個人／事業所数" dataCellStyle="桁区切り"/>
    <tableColumn id="13" xr3:uid="{B8D2BF2D-9690-4B44-A97E-7AFF554CDE0B}" name="個人／構成比" dataDxfId="701"/>
    <tableColumn id="14" xr3:uid="{C625EC0D-219A-4A11-BD93-98C70B76341A}" name="法人／事業所数" dataCellStyle="桁区切り"/>
    <tableColumn id="15" xr3:uid="{417A66BD-DFFD-467D-ADA8-8B310537ABD3}" name="法人／構成比" dataDxfId="700"/>
    <tableColumn id="16" xr3:uid="{D552F35A-EBAB-4F01-A446-668A35F5C505}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6C14C0D2-C810-4F43-8F12-742C39C6D931}" name="LTBL_11216" displayName="LTBL_11216" ref="B4:I20" totalsRowCount="1">
  <autoFilter ref="B4:I19" xr:uid="{6C14C0D2-C810-4F43-8F12-742C39C6D931}"/>
  <tableColumns count="8">
    <tableColumn id="9" xr3:uid="{50402C00-1578-4485-88D5-51EDC74CBF3D}" name="産業大分類" totalsRowLabel="合計" totalsRowDxfId="699"/>
    <tableColumn id="10" xr3:uid="{77F0222D-554A-4227-98BF-71426DDEA142}" name="総数／事業所数" totalsRowFunction="custom" totalsRowDxfId="698" dataCellStyle="桁区切り" totalsRowCellStyle="桁区切り">
      <totalsRowFormula>SUM(LTBL_11216[総数／事業所数])</totalsRowFormula>
    </tableColumn>
    <tableColumn id="11" xr3:uid="{A62FF2B8-72E1-4D46-AB8F-8E6E2559615A}" name="総数／構成比" dataDxfId="697"/>
    <tableColumn id="12" xr3:uid="{AFD54503-4D32-41C0-9573-2AE52F34C0DD}" name="個人／事業所数" totalsRowFunction="sum" totalsRowDxfId="696" dataCellStyle="桁区切り" totalsRowCellStyle="桁区切り"/>
    <tableColumn id="13" xr3:uid="{9665CFE9-4C85-4D39-B6C7-496BD7D18F7D}" name="個人／構成比" dataDxfId="695"/>
    <tableColumn id="14" xr3:uid="{01762ABC-C68B-4A34-87CF-5EC0EA9A658C}" name="法人／事業所数" totalsRowFunction="sum" totalsRowDxfId="694" dataCellStyle="桁区切り" totalsRowCellStyle="桁区切り"/>
    <tableColumn id="15" xr3:uid="{CC29E9D7-0293-4AF5-AE86-3A0B36850403}" name="法人／構成比" dataDxfId="693"/>
    <tableColumn id="16" xr3:uid="{CE9C2090-6EA5-4143-A4B4-B87692154D25}" name="法人以外の団体／事業所数" totalsRowFunction="sum" totalsRowDxfId="692" dataCellStyle="桁区切り" totalsRow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ED620AAB-E7E4-4618-9AA5-ECE2D13AF27D}" name="M_TABLE_11216" displayName="M_TABLE_11216" ref="B23:I44" totalsRowShown="0">
  <autoFilter ref="B23:I44" xr:uid="{ED620AAB-E7E4-4618-9AA5-ECE2D13AF27D}"/>
  <tableColumns count="8">
    <tableColumn id="9" xr3:uid="{CCBEEA67-06A2-41C8-A23E-8CE28DE86CDD}" name="産業中分類上位２０"/>
    <tableColumn id="10" xr3:uid="{F69A383B-F387-41F2-BF39-4D5C3A9424A3}" name="総数／事業所数" dataCellStyle="桁区切り"/>
    <tableColumn id="11" xr3:uid="{CF941DA3-E7BC-42BD-AC74-02A862202798}" name="総数／構成比" dataDxfId="691"/>
    <tableColumn id="12" xr3:uid="{DEEA6FFE-639B-46CD-8CC4-CA719C115E5D}" name="個人／事業所数" dataCellStyle="桁区切り"/>
    <tableColumn id="13" xr3:uid="{49A138C9-493B-441E-8B9D-C13FDDAB6885}" name="個人／構成比" dataDxfId="690"/>
    <tableColumn id="14" xr3:uid="{86465B94-8AA5-4BEA-A0BB-71F87E541CF5}" name="法人／事業所数" dataCellStyle="桁区切り"/>
    <tableColumn id="15" xr3:uid="{CC61E085-B794-477D-B0F0-5AC9022BAC22}" name="法人／構成比" dataDxfId="689"/>
    <tableColumn id="16" xr3:uid="{5CA9CC7B-F144-4110-B353-1A6C506A05EC}" name="法人以外の団体／事業所数" dataCellStyle="桁区切り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FB0BB83F-24BF-4C93-9D78-C81CC9C174B3}" name="S_TABLE_11216" displayName="S_TABLE_11216" ref="B47:I68" totalsRowShown="0">
  <autoFilter ref="B47:I68" xr:uid="{FB0BB83F-24BF-4C93-9D78-C81CC9C174B3}"/>
  <tableColumns count="8">
    <tableColumn id="9" xr3:uid="{9193C0F0-F643-4AF2-9AC7-23060CF8A856}" name="産業小分類上位２０"/>
    <tableColumn id="10" xr3:uid="{C899A588-3CA5-40F0-BDA1-6AC5B7D6EC25}" name="総数／事業所数" dataCellStyle="桁区切り"/>
    <tableColumn id="11" xr3:uid="{61535FF0-EEAC-4A2B-88D0-616826E8FF46}" name="総数／構成比" dataDxfId="688"/>
    <tableColumn id="12" xr3:uid="{6DF51CD2-3775-499A-A338-C210D6821B1B}" name="個人／事業所数" dataCellStyle="桁区切り"/>
    <tableColumn id="13" xr3:uid="{8FD8E08A-DD74-48F1-BA4A-4246F8B2C7E1}" name="個人／構成比" dataDxfId="687"/>
    <tableColumn id="14" xr3:uid="{DD83597C-B93E-4D38-AC85-D6168E0FF7DC}" name="法人／事業所数" dataCellStyle="桁区切り"/>
    <tableColumn id="15" xr3:uid="{6EC43C11-A05C-43B7-AADB-CE0DEE19769C}" name="法人／構成比" dataDxfId="686"/>
    <tableColumn id="16" xr3:uid="{76ED996D-F4C9-4DF0-AB44-0E6A19D13A5E}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F05828AA-1819-4AD7-A6A1-3B7902A8240D}" name="LTBL_11217" displayName="LTBL_11217" ref="B4:I20" totalsRowCount="1">
  <autoFilter ref="B4:I19" xr:uid="{F05828AA-1819-4AD7-A6A1-3B7902A8240D}"/>
  <tableColumns count="8">
    <tableColumn id="9" xr3:uid="{040E14C5-9326-4E8D-BE21-A167536575C6}" name="産業大分類" totalsRowLabel="合計" totalsRowDxfId="685"/>
    <tableColumn id="10" xr3:uid="{086F4B51-CDB3-480A-BB2E-24E97A294F03}" name="総数／事業所数" totalsRowFunction="custom" totalsRowDxfId="684" dataCellStyle="桁区切り" totalsRowCellStyle="桁区切り">
      <totalsRowFormula>SUM(LTBL_11217[総数／事業所数])</totalsRowFormula>
    </tableColumn>
    <tableColumn id="11" xr3:uid="{F764961E-526A-4264-8D4C-7C38984F6067}" name="総数／構成比" dataDxfId="683"/>
    <tableColumn id="12" xr3:uid="{5D354F7B-17DD-4E8A-991F-07D5E3FF4290}" name="個人／事業所数" totalsRowFunction="sum" totalsRowDxfId="682" dataCellStyle="桁区切り" totalsRowCellStyle="桁区切り"/>
    <tableColumn id="13" xr3:uid="{1B0B81E7-A660-4C84-85BC-6EE8D8E7B2B4}" name="個人／構成比" dataDxfId="681"/>
    <tableColumn id="14" xr3:uid="{B87BA6E4-F03B-4782-882B-A8FA89E183B7}" name="法人／事業所数" totalsRowFunction="sum" totalsRowDxfId="680" dataCellStyle="桁区切り" totalsRowCellStyle="桁区切り"/>
    <tableColumn id="15" xr3:uid="{E8E8D2E6-03B1-4DE0-B109-DCF400E4BDC5}" name="法人／構成比" dataDxfId="679"/>
    <tableColumn id="16" xr3:uid="{C5068483-43AE-41D4-9D94-01FD2825CB80}" name="法人以外の団体／事業所数" totalsRowFunction="sum" totalsRowDxfId="678" dataCellStyle="桁区切り" totalsRow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CB08A41B-D5AA-4478-9ABF-CAE3D1BC77E0}" name="M_TABLE_11217" displayName="M_TABLE_11217" ref="B23:I43" totalsRowShown="0">
  <autoFilter ref="B23:I43" xr:uid="{CB08A41B-D5AA-4478-9ABF-CAE3D1BC77E0}"/>
  <tableColumns count="8">
    <tableColumn id="9" xr3:uid="{11971E52-A0CD-4E80-8356-9FAABAA032FA}" name="産業中分類上位２０"/>
    <tableColumn id="10" xr3:uid="{D97E45A4-C21B-4929-8464-7F1D6E05339B}" name="総数／事業所数" dataCellStyle="桁区切り"/>
    <tableColumn id="11" xr3:uid="{B5F1F092-81B4-4818-97B3-C11C67B380C9}" name="総数／構成比" dataDxfId="677"/>
    <tableColumn id="12" xr3:uid="{051AD434-6D1C-46CC-9AB1-B23F0F5D4DA1}" name="個人／事業所数" dataCellStyle="桁区切り"/>
    <tableColumn id="13" xr3:uid="{5C3928DC-2EBB-4F8E-B016-0D2AC6C93016}" name="個人／構成比" dataDxfId="676"/>
    <tableColumn id="14" xr3:uid="{08B4090D-40E3-4826-B2FD-DF4117C08A4C}" name="法人／事業所数" dataCellStyle="桁区切り"/>
    <tableColumn id="15" xr3:uid="{6DA3D424-1ABD-4E1D-87BC-13812E79A1F2}" name="法人／構成比" dataDxfId="675"/>
    <tableColumn id="16" xr3:uid="{02BE1746-9744-4103-BF28-53F164D9FA76}" name="法人以外の団体／事業所数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7DBCF262-DEC5-462B-BC26-B0CE4653B1A5}" name="S_TABLE_11217" displayName="S_TABLE_11217" ref="B46:I66" totalsRowShown="0">
  <autoFilter ref="B46:I66" xr:uid="{7DBCF262-DEC5-462B-BC26-B0CE4653B1A5}"/>
  <tableColumns count="8">
    <tableColumn id="9" xr3:uid="{20DF09D1-4BAC-4581-91C4-7082357FE7ED}" name="産業小分類上位２０"/>
    <tableColumn id="10" xr3:uid="{89D37464-BBA9-476E-AB9B-06A3845931CF}" name="総数／事業所数" dataCellStyle="桁区切り"/>
    <tableColumn id="11" xr3:uid="{0EB07FF2-906B-4078-9A72-25F23135FAE5}" name="総数／構成比" dataDxfId="674"/>
    <tableColumn id="12" xr3:uid="{D8648FA4-9EE3-4E87-8AF9-FAED01762694}" name="個人／事業所数" dataCellStyle="桁区切り"/>
    <tableColumn id="13" xr3:uid="{6A8A10ED-7118-4B1A-A6B7-D20F528C9304}" name="個人／構成比" dataDxfId="673"/>
    <tableColumn id="14" xr3:uid="{E0F1DE22-124C-4AF0-8079-DCA3F4100F19}" name="法人／事業所数" dataCellStyle="桁区切り"/>
    <tableColumn id="15" xr3:uid="{3CE854BE-B0B2-4225-A8B7-DC7F79E178E3}" name="法人／構成比" dataDxfId="672"/>
    <tableColumn id="16" xr3:uid="{E4BEB704-B5B0-4FC1-B7A6-759F805F63EA}" name="法人以外の団体／事業所数" dataCellStyle="桁区切り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31ACC003-A7AF-42EC-89C3-89816BF20934}" name="LTBL_11218" displayName="LTBL_11218" ref="B4:I20" totalsRowCount="1">
  <autoFilter ref="B4:I19" xr:uid="{31ACC003-A7AF-42EC-89C3-89816BF20934}"/>
  <tableColumns count="8">
    <tableColumn id="9" xr3:uid="{CB9D9972-2953-491B-8FCE-9911256C1C12}" name="産業大分類" totalsRowLabel="合計" totalsRowDxfId="671"/>
    <tableColumn id="10" xr3:uid="{5F896667-544C-40D1-9D0C-01715A9CB97E}" name="総数／事業所数" totalsRowFunction="custom" totalsRowDxfId="670" dataCellStyle="桁区切り" totalsRowCellStyle="桁区切り">
      <totalsRowFormula>SUM(LTBL_11218[総数／事業所数])</totalsRowFormula>
    </tableColumn>
    <tableColumn id="11" xr3:uid="{713089A6-BFF0-4D64-A84E-6BDEB5512DD6}" name="総数／構成比" dataDxfId="669"/>
    <tableColumn id="12" xr3:uid="{CB0CF5BC-61B2-4162-B39F-BD87FAB5091D}" name="個人／事業所数" totalsRowFunction="sum" totalsRowDxfId="668" dataCellStyle="桁区切り" totalsRowCellStyle="桁区切り"/>
    <tableColumn id="13" xr3:uid="{831700B5-A073-46C6-80EC-689A81E0C2C8}" name="個人／構成比" dataDxfId="667"/>
    <tableColumn id="14" xr3:uid="{6DB5BA8D-6361-48CF-91F3-9199A6352B74}" name="法人／事業所数" totalsRowFunction="sum" totalsRowDxfId="666" dataCellStyle="桁区切り" totalsRowCellStyle="桁区切り"/>
    <tableColumn id="15" xr3:uid="{1771CE43-0FAF-4CCE-809E-70BDD3F56EEC}" name="法人／構成比" dataDxfId="665"/>
    <tableColumn id="16" xr3:uid="{56A95454-AE18-40C2-9982-52BCA007D7E6}" name="法人以外の団体／事業所数" totalsRowFunction="sum" totalsRowDxfId="664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8DAF60E-93C8-4BA5-9D6F-A900FF1CD1D3}" name="M_TABLE_11101" displayName="M_TABLE_11101" ref="B23:I43" totalsRowShown="0">
  <autoFilter ref="B23:I43" xr:uid="{C8DAF60E-93C8-4BA5-9D6F-A900FF1CD1D3}"/>
  <tableColumns count="8">
    <tableColumn id="9" xr3:uid="{EAE6D98B-A439-43DF-8287-86A49363770E}" name="産業中分類上位２０"/>
    <tableColumn id="10" xr3:uid="{206D5764-C666-4D1C-AC67-70D1C987FE1C}" name="総数／事業所数" dataCellStyle="桁区切り"/>
    <tableColumn id="11" xr3:uid="{87600180-4007-42D0-B6F2-FC3EFAB7CB8D}" name="総数／構成比" dataDxfId="999"/>
    <tableColumn id="12" xr3:uid="{A9B5757C-745E-4CF4-BB68-172D4566252E}" name="個人／事業所数" dataCellStyle="桁区切り"/>
    <tableColumn id="13" xr3:uid="{1C1C9F39-DA2C-44A0-B348-FC0ABE13DA81}" name="個人／構成比" dataDxfId="998"/>
    <tableColumn id="14" xr3:uid="{78909B47-2BB5-4558-B174-07F6A89C7518}" name="法人／事業所数" dataCellStyle="桁区切り"/>
    <tableColumn id="15" xr3:uid="{EC3757C9-1291-4658-8B39-9EA234C7A879}" name="法人／構成比" dataDxfId="997"/>
    <tableColumn id="16" xr3:uid="{BB73CBE5-55E1-47E2-A5ED-22E9CAA10350}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5C79BF8B-A41E-4AE0-BA5C-E02DB7E873FA}" name="M_TABLE_11218" displayName="M_TABLE_11218" ref="B23:I43" totalsRowShown="0">
  <autoFilter ref="B23:I43" xr:uid="{5C79BF8B-A41E-4AE0-BA5C-E02DB7E873FA}"/>
  <tableColumns count="8">
    <tableColumn id="9" xr3:uid="{582ABEA0-3652-45F2-A8BD-B8AF2C303DC9}" name="産業中分類上位２０"/>
    <tableColumn id="10" xr3:uid="{358F8EE6-1945-4ED8-ACE4-F0B7F4D483FF}" name="総数／事業所数" dataCellStyle="桁区切り"/>
    <tableColumn id="11" xr3:uid="{E380F513-9C6E-41D5-BECD-90090E47212C}" name="総数／構成比" dataDxfId="663"/>
    <tableColumn id="12" xr3:uid="{218963D1-425E-4E46-A91F-0BD50A523F17}" name="個人／事業所数" dataCellStyle="桁区切り"/>
    <tableColumn id="13" xr3:uid="{8EF41D44-DE22-45A6-B8B7-D6728C234058}" name="個人／構成比" dataDxfId="662"/>
    <tableColumn id="14" xr3:uid="{975CEE75-B956-4CD9-ADFA-0B2CDBE4A9A7}" name="法人／事業所数" dataCellStyle="桁区切り"/>
    <tableColumn id="15" xr3:uid="{5655D1C5-E6BB-48F7-B591-35B00EE9333C}" name="法人／構成比" dataDxfId="661"/>
    <tableColumn id="16" xr3:uid="{A85B38C2-8D56-4A63-8D4B-50F6DA720B26}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BBEE9151-0258-4AE7-B980-E8B29E17C4AB}" name="S_TABLE_11218" displayName="S_TABLE_11218" ref="B46:I66" totalsRowShown="0">
  <autoFilter ref="B46:I66" xr:uid="{BBEE9151-0258-4AE7-B980-E8B29E17C4AB}"/>
  <tableColumns count="8">
    <tableColumn id="9" xr3:uid="{B3F086E2-5898-4685-8C89-D08C9BB08C61}" name="産業小分類上位２０"/>
    <tableColumn id="10" xr3:uid="{8C41009F-117A-4A41-93C8-C50FBAB1970F}" name="総数／事業所数" dataCellStyle="桁区切り"/>
    <tableColumn id="11" xr3:uid="{4A5A5752-8AE4-4EF2-85A6-CD2AD0095EFC}" name="総数／構成比" dataDxfId="660"/>
    <tableColumn id="12" xr3:uid="{E92F3F45-15F2-41D4-AD74-A517E9BBF694}" name="個人／事業所数" dataCellStyle="桁区切り"/>
    <tableColumn id="13" xr3:uid="{FB40FD32-5CE1-46FC-A836-3F65D8392EC9}" name="個人／構成比" dataDxfId="659"/>
    <tableColumn id="14" xr3:uid="{9D6443CD-ADD3-4F1C-BA8A-7836B6DBC3F2}" name="法人／事業所数" dataCellStyle="桁区切り"/>
    <tableColumn id="15" xr3:uid="{A3B06DC1-AFC8-4BF4-80C0-FF4CED295D57}" name="法人／構成比" dataDxfId="658"/>
    <tableColumn id="16" xr3:uid="{EEB12AE4-0A24-4AA4-87CD-5A54CCAD4AE7}" name="法人以外の団体／事業所数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A0C8AAB9-2B41-43BF-8806-3E15FAFC7225}" name="LTBL_11219" displayName="LTBL_11219" ref="B4:I20" totalsRowCount="1">
  <autoFilter ref="B4:I19" xr:uid="{A0C8AAB9-2B41-43BF-8806-3E15FAFC7225}"/>
  <tableColumns count="8">
    <tableColumn id="9" xr3:uid="{66215497-3B2C-4C03-9CCE-338240D31548}" name="産業大分類" totalsRowLabel="合計" totalsRowDxfId="657"/>
    <tableColumn id="10" xr3:uid="{C1A0BDE6-6074-4BB1-9526-459C5E3C9645}" name="総数／事業所数" totalsRowFunction="custom" totalsRowDxfId="656" dataCellStyle="桁区切り" totalsRowCellStyle="桁区切り">
      <totalsRowFormula>SUM(LTBL_11219[総数／事業所数])</totalsRowFormula>
    </tableColumn>
    <tableColumn id="11" xr3:uid="{41281121-2415-4252-8756-C81356281BE6}" name="総数／構成比" dataDxfId="655"/>
    <tableColumn id="12" xr3:uid="{BA49771E-78C7-4207-A144-43594579AF76}" name="個人／事業所数" totalsRowFunction="sum" totalsRowDxfId="654" dataCellStyle="桁区切り" totalsRowCellStyle="桁区切り"/>
    <tableColumn id="13" xr3:uid="{487475DF-709C-4E10-8893-B33D82C6B5B0}" name="個人／構成比" dataDxfId="653"/>
    <tableColumn id="14" xr3:uid="{17877AF2-D9F8-4216-A4A4-C94E6C827776}" name="法人／事業所数" totalsRowFunction="sum" totalsRowDxfId="652" dataCellStyle="桁区切り" totalsRowCellStyle="桁区切り"/>
    <tableColumn id="15" xr3:uid="{336007D8-A388-4433-987B-F6313F6A7BD2}" name="法人／構成比" dataDxfId="651"/>
    <tableColumn id="16" xr3:uid="{F26A4097-658A-42CB-9633-18FCE1A2E2C2}" name="法人以外の団体／事業所数" totalsRowFunction="sum" totalsRowDxfId="650" dataCellStyle="桁区切り" totalsRowCellStyle="桁区切り"/>
  </tableColumns>
  <tableStyleInfo name="TableStyleMedium9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FD78A4BD-E4ED-400A-A8DF-A746664B266B}" name="M_TABLE_11219" displayName="M_TABLE_11219" ref="B23:I43" totalsRowShown="0">
  <autoFilter ref="B23:I43" xr:uid="{FD78A4BD-E4ED-400A-A8DF-A746664B266B}"/>
  <tableColumns count="8">
    <tableColumn id="9" xr3:uid="{6DF42C16-DE2B-4EDD-9DA2-F5DC78E5BB68}" name="産業中分類上位２０"/>
    <tableColumn id="10" xr3:uid="{CA421223-FEB1-4ED6-94F2-6A29EDB723B5}" name="総数／事業所数" dataCellStyle="桁区切り"/>
    <tableColumn id="11" xr3:uid="{5D4D7A28-5490-4D90-BA2B-1E62C3B5341D}" name="総数／構成比" dataDxfId="649"/>
    <tableColumn id="12" xr3:uid="{A515E049-8AE3-4689-80B8-6AF253A2259B}" name="個人／事業所数" dataCellStyle="桁区切り"/>
    <tableColumn id="13" xr3:uid="{B9D89BEA-472C-4C99-88C4-ADAACF22A25B}" name="個人／構成比" dataDxfId="648"/>
    <tableColumn id="14" xr3:uid="{EE8194DF-37CE-4F4A-9629-1F53E0FECE72}" name="法人／事業所数" dataCellStyle="桁区切り"/>
    <tableColumn id="15" xr3:uid="{1BA63B78-BB9E-4ADD-87DC-FFC049DF359F}" name="法人／構成比" dataDxfId="647"/>
    <tableColumn id="16" xr3:uid="{0CC545A8-9F93-4441-8911-DADBDBCC123E}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3C169A8A-6B0D-453C-8A23-A75F50368172}" name="S_TABLE_11219" displayName="S_TABLE_11219" ref="B46:I66" totalsRowShown="0">
  <autoFilter ref="B46:I66" xr:uid="{3C169A8A-6B0D-453C-8A23-A75F50368172}"/>
  <tableColumns count="8">
    <tableColumn id="9" xr3:uid="{6AC324E2-0A51-4077-8D9B-64343D64ACA5}" name="産業小分類上位２０"/>
    <tableColumn id="10" xr3:uid="{FEC1C975-BB6F-4CA3-98E1-7B2FC172D5D4}" name="総数／事業所数" dataCellStyle="桁区切り"/>
    <tableColumn id="11" xr3:uid="{814B33D9-4E15-4668-BF46-9F1B37AB262E}" name="総数／構成比" dataDxfId="646"/>
    <tableColumn id="12" xr3:uid="{73A4D93F-BBDB-452C-81A7-261FF3C00A26}" name="個人／事業所数" dataCellStyle="桁区切り"/>
    <tableColumn id="13" xr3:uid="{C5733DBC-9FA9-4457-BFCB-882371887A00}" name="個人／構成比" dataDxfId="645"/>
    <tableColumn id="14" xr3:uid="{AD717A24-DC20-4A29-B391-E91BB11832C7}" name="法人／事業所数" dataCellStyle="桁区切り"/>
    <tableColumn id="15" xr3:uid="{C5ABE2B7-BB8A-497F-99F4-A888A1A45DD5}" name="法人／構成比" dataDxfId="644"/>
    <tableColumn id="16" xr3:uid="{7CA18B5C-08AA-486B-986E-339F47ABD117}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2B86800E-EAEB-431F-AE02-CCE5A1630556}" name="LTBL_11221" displayName="LTBL_11221" ref="B4:I20" totalsRowCount="1">
  <autoFilter ref="B4:I19" xr:uid="{2B86800E-EAEB-431F-AE02-CCE5A1630556}"/>
  <tableColumns count="8">
    <tableColumn id="9" xr3:uid="{D12B274A-9967-49FB-A319-FE1FD417A3B0}" name="産業大分類" totalsRowLabel="合計" totalsRowDxfId="643"/>
    <tableColumn id="10" xr3:uid="{A48B8D41-8467-415C-9D13-C9A3631828E9}" name="総数／事業所数" totalsRowFunction="custom" totalsRowDxfId="642" dataCellStyle="桁区切り" totalsRowCellStyle="桁区切り">
      <totalsRowFormula>SUM(LTBL_11221[総数／事業所数])</totalsRowFormula>
    </tableColumn>
    <tableColumn id="11" xr3:uid="{F2AC572C-FFCA-44B1-B483-7584C4A1C3D1}" name="総数／構成比" dataDxfId="641"/>
    <tableColumn id="12" xr3:uid="{ADFEC010-5A48-4743-BC14-21267A87C0C3}" name="個人／事業所数" totalsRowFunction="sum" totalsRowDxfId="640" dataCellStyle="桁区切り" totalsRowCellStyle="桁区切り"/>
    <tableColumn id="13" xr3:uid="{BC27C5EF-B609-414B-842C-604692BFCCF4}" name="個人／構成比" dataDxfId="639"/>
    <tableColumn id="14" xr3:uid="{669DD165-9A3B-408E-98D8-23A0B3E5C243}" name="法人／事業所数" totalsRowFunction="sum" totalsRowDxfId="638" dataCellStyle="桁区切り" totalsRowCellStyle="桁区切り"/>
    <tableColumn id="15" xr3:uid="{759678F1-D25A-401A-9960-6E308BCF85D1}" name="法人／構成比" dataDxfId="637"/>
    <tableColumn id="16" xr3:uid="{86D79DAC-01A8-4085-B2FA-A692306BAB8E}" name="法人以外の団体／事業所数" totalsRowFunction="sum" totalsRowDxfId="636" dataCellStyle="桁区切り" totalsRow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AE42C852-B2AE-4596-8F77-935AB81030F6}" name="M_TABLE_11221" displayName="M_TABLE_11221" ref="B23:I43" totalsRowShown="0">
  <autoFilter ref="B23:I43" xr:uid="{AE42C852-B2AE-4596-8F77-935AB81030F6}"/>
  <tableColumns count="8">
    <tableColumn id="9" xr3:uid="{9AB2A8A1-340D-40A7-BABF-F0145ED25D51}" name="産業中分類上位２０"/>
    <tableColumn id="10" xr3:uid="{08DCA35C-3102-49CD-827B-C55F6C21DDDE}" name="総数／事業所数" dataCellStyle="桁区切り"/>
    <tableColumn id="11" xr3:uid="{68458528-10E0-4890-8454-A968F26A95D7}" name="総数／構成比" dataDxfId="635"/>
    <tableColumn id="12" xr3:uid="{E10CD96F-0CD2-4052-B0EA-4AE15879F056}" name="個人／事業所数" dataCellStyle="桁区切り"/>
    <tableColumn id="13" xr3:uid="{2692F81F-A27F-4ABC-9401-AFA1CEAECD02}" name="個人／構成比" dataDxfId="634"/>
    <tableColumn id="14" xr3:uid="{78DDCCD2-4A2C-4C16-A0E1-E677153DA866}" name="法人／事業所数" dataCellStyle="桁区切り"/>
    <tableColumn id="15" xr3:uid="{4221A8B1-0717-4333-8CEE-75CFFE97D46B}" name="法人／構成比" dataDxfId="633"/>
    <tableColumn id="16" xr3:uid="{34FCA751-0768-414E-A576-097ACFE9EA31}" name="法人以外の団体／事業所数" dataCellStyle="桁区切り"/>
  </tableColumns>
  <tableStyleInfo name="TableStyleMedium9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F8DEF7E6-D5CD-4A80-BDC5-B2CC6182764A}" name="S_TABLE_11221" displayName="S_TABLE_11221" ref="B46:I66" totalsRowShown="0">
  <autoFilter ref="B46:I66" xr:uid="{F8DEF7E6-D5CD-4A80-BDC5-B2CC6182764A}"/>
  <tableColumns count="8">
    <tableColumn id="9" xr3:uid="{87366E40-2AE2-44DD-AA96-1CD347F448C2}" name="産業小分類上位２０"/>
    <tableColumn id="10" xr3:uid="{C47D5491-152B-412F-9509-ABF35D0EEA66}" name="総数／事業所数" dataCellStyle="桁区切り"/>
    <tableColumn id="11" xr3:uid="{EF18CB63-54B9-40BE-8632-ADCA370DE4FC}" name="総数／構成比" dataDxfId="632"/>
    <tableColumn id="12" xr3:uid="{B0848E69-E986-49B8-BF50-8F84E74AC675}" name="個人／事業所数" dataCellStyle="桁区切り"/>
    <tableColumn id="13" xr3:uid="{29E0FFAE-7F58-4103-AD28-D5521F18661F}" name="個人／構成比" dataDxfId="631"/>
    <tableColumn id="14" xr3:uid="{48857559-1AD2-4741-88F5-26F0F1561DB9}" name="法人／事業所数" dataCellStyle="桁区切り"/>
    <tableColumn id="15" xr3:uid="{3BC6B803-B8F0-4B03-8A32-51147C3CC17B}" name="法人／構成比" dataDxfId="630"/>
    <tableColumn id="16" xr3:uid="{00176C7C-5780-4A45-96B8-D30C093F47C0}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5AB01021-C90F-4F7F-A932-DC46D9A13D81}" name="LTBL_11222" displayName="LTBL_11222" ref="B4:I20" totalsRowCount="1">
  <autoFilter ref="B4:I19" xr:uid="{5AB01021-C90F-4F7F-A932-DC46D9A13D81}"/>
  <tableColumns count="8">
    <tableColumn id="9" xr3:uid="{BFEF3185-2CCF-4D19-81CF-798751B54254}" name="産業大分類" totalsRowLabel="合計" totalsRowDxfId="629"/>
    <tableColumn id="10" xr3:uid="{D63CADB2-91CE-4EFD-B8F1-E23DB35B9EA5}" name="総数／事業所数" totalsRowFunction="custom" totalsRowDxfId="628" dataCellStyle="桁区切り" totalsRowCellStyle="桁区切り">
      <totalsRowFormula>SUM(LTBL_11222[総数／事業所数])</totalsRowFormula>
    </tableColumn>
    <tableColumn id="11" xr3:uid="{EC124DD0-36C2-4040-AE4C-266ED30E4AF5}" name="総数／構成比" dataDxfId="627"/>
    <tableColumn id="12" xr3:uid="{AB4B175D-8A0B-456A-AA6D-C57141605250}" name="個人／事業所数" totalsRowFunction="sum" totalsRowDxfId="626" dataCellStyle="桁区切り" totalsRowCellStyle="桁区切り"/>
    <tableColumn id="13" xr3:uid="{6BFDE50B-EFEF-479C-9831-D57208F767BD}" name="個人／構成比" dataDxfId="625"/>
    <tableColumn id="14" xr3:uid="{D21C5DDF-051B-47C6-846B-6AC6BC5209CE}" name="法人／事業所数" totalsRowFunction="sum" totalsRowDxfId="624" dataCellStyle="桁区切り" totalsRowCellStyle="桁区切り"/>
    <tableColumn id="15" xr3:uid="{6A732BED-4184-438C-98D1-AA03171D3180}" name="法人／構成比" dataDxfId="623"/>
    <tableColumn id="16" xr3:uid="{19D2F671-CCD4-48E0-89E3-C416A475B7B4}" name="法人以外の団体／事業所数" totalsRowFunction="sum" totalsRowDxfId="622" dataCellStyle="桁区切り" totalsRow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75E50504-A76D-4534-A8A4-1DE4945A8B9A}" name="M_TABLE_11222" displayName="M_TABLE_11222" ref="B23:I43" totalsRowShown="0">
  <autoFilter ref="B23:I43" xr:uid="{75E50504-A76D-4534-A8A4-1DE4945A8B9A}"/>
  <tableColumns count="8">
    <tableColumn id="9" xr3:uid="{2A59E5F7-6BCC-4135-90F9-11AF0FED9C47}" name="産業中分類上位２０"/>
    <tableColumn id="10" xr3:uid="{17A1166A-2E06-4FA8-A379-9215CD8C0F00}" name="総数／事業所数" dataCellStyle="桁区切り"/>
    <tableColumn id="11" xr3:uid="{02D31D65-7808-403B-92D8-7B43057D448C}" name="総数／構成比" dataDxfId="621"/>
    <tableColumn id="12" xr3:uid="{500F2D06-770A-416B-BA38-AB55B43C4FEA}" name="個人／事業所数" dataCellStyle="桁区切り"/>
    <tableColumn id="13" xr3:uid="{A04191A1-171F-42A9-A171-8679C36E5068}" name="個人／構成比" dataDxfId="620"/>
    <tableColumn id="14" xr3:uid="{4CE3C786-AFBE-493E-95FD-BECFC2074518}" name="法人／事業所数" dataCellStyle="桁区切り"/>
    <tableColumn id="15" xr3:uid="{7B2A2228-8524-4816-A370-1D69EA8A44AF}" name="法人／構成比" dataDxfId="619"/>
    <tableColumn id="16" xr3:uid="{3D504F37-8B43-4FB1-B6C4-39AED38336B8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7B7335E-29A1-494E-BECE-E14CB5F51733}" name="S_TABLE_11101" displayName="S_TABLE_11101" ref="B46:I67" totalsRowShown="0">
  <autoFilter ref="B46:I67" xr:uid="{07B7335E-29A1-494E-BECE-E14CB5F51733}"/>
  <tableColumns count="8">
    <tableColumn id="9" xr3:uid="{C5D085FF-873F-4C53-93C1-895D13B1DD0F}" name="産業小分類上位２０"/>
    <tableColumn id="10" xr3:uid="{5B399AEF-C10E-442E-8372-9A8373ACE4EC}" name="総数／事業所数" dataCellStyle="桁区切り"/>
    <tableColumn id="11" xr3:uid="{792FEAFA-79A5-4E0F-986E-F3C86B776D30}" name="総数／構成比" dataDxfId="996"/>
    <tableColumn id="12" xr3:uid="{6D72CD63-64ED-4B28-BB3C-3DBF9140FF0E}" name="個人／事業所数" dataCellStyle="桁区切り"/>
    <tableColumn id="13" xr3:uid="{152320B1-E91D-4A8A-B883-D86377326E72}" name="個人／構成比" dataDxfId="995"/>
    <tableColumn id="14" xr3:uid="{B9ABD11D-0C19-49B4-9E56-CEE3E63113BD}" name="法人／事業所数" dataCellStyle="桁区切り"/>
    <tableColumn id="15" xr3:uid="{78336163-E358-4A0D-BFB3-105BB96DC64C}" name="法人／構成比" dataDxfId="994"/>
    <tableColumn id="16" xr3:uid="{15C4BD4A-B561-4332-A8D4-7D355E545AF5}" name="法人以外の団体／事業所数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447A54D-A475-432B-949C-70DBE0311C1E}" name="S_TABLE_11222" displayName="S_TABLE_11222" ref="B46:I67" totalsRowShown="0">
  <autoFilter ref="B46:I67" xr:uid="{0447A54D-A475-432B-949C-70DBE0311C1E}"/>
  <tableColumns count="8">
    <tableColumn id="9" xr3:uid="{C686461B-08E9-4E49-8104-E6D3B14C8762}" name="産業小分類上位２０"/>
    <tableColumn id="10" xr3:uid="{AD5A2B85-0612-4124-B288-4E7DAD1A83BE}" name="総数／事業所数" dataCellStyle="桁区切り"/>
    <tableColumn id="11" xr3:uid="{732BD153-0841-483B-B87D-CCFBF61FAEE6}" name="総数／構成比" dataDxfId="618"/>
    <tableColumn id="12" xr3:uid="{2777D9AF-4C94-43E0-8886-E03A74FB4BE3}" name="個人／事業所数" dataCellStyle="桁区切り"/>
    <tableColumn id="13" xr3:uid="{2FBF43D0-A087-4DBA-99AC-0D8FA23AFE17}" name="個人／構成比" dataDxfId="617"/>
    <tableColumn id="14" xr3:uid="{0951B986-4E19-448F-B2FD-44410C25BDB8}" name="法人／事業所数" dataCellStyle="桁区切り"/>
    <tableColumn id="15" xr3:uid="{8E6F0AD4-B005-42BA-9BAE-08351504011E}" name="法人／構成比" dataDxfId="616"/>
    <tableColumn id="16" xr3:uid="{C7D6D7E6-480B-4822-8E59-6100D33B9B84}" name="法人以外の団体／事業所数" dataCellStyle="桁区切り"/>
  </tableColumns>
  <tableStyleInfo name="TableStyleMedium9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287807F5-F842-437C-A573-567F9CF85878}" name="LTBL_11223" displayName="LTBL_11223" ref="B4:I20" totalsRowCount="1">
  <autoFilter ref="B4:I19" xr:uid="{287807F5-F842-437C-A573-567F9CF85878}"/>
  <tableColumns count="8">
    <tableColumn id="9" xr3:uid="{571AAEF0-EFC5-41A9-AB03-7C34A0F6D240}" name="産業大分類" totalsRowLabel="合計" totalsRowDxfId="615"/>
    <tableColumn id="10" xr3:uid="{892F7DD0-4B80-4B28-8888-183A5B67565D}" name="総数／事業所数" totalsRowFunction="custom" totalsRowDxfId="614" dataCellStyle="桁区切り" totalsRowCellStyle="桁区切り">
      <totalsRowFormula>SUM(LTBL_11223[総数／事業所数])</totalsRowFormula>
    </tableColumn>
    <tableColumn id="11" xr3:uid="{0E21AA15-6DDF-40C7-A7CE-9C49693D248B}" name="総数／構成比" dataDxfId="613"/>
    <tableColumn id="12" xr3:uid="{0615EB6D-40C9-49C3-A01A-915869CBE8DE}" name="個人／事業所数" totalsRowFunction="sum" totalsRowDxfId="612" dataCellStyle="桁区切り" totalsRowCellStyle="桁区切り"/>
    <tableColumn id="13" xr3:uid="{14F21A0D-DAEB-4AD7-AE89-B8AE7FA462EC}" name="個人／構成比" dataDxfId="611"/>
    <tableColumn id="14" xr3:uid="{0104F497-998C-4F8E-8B90-E08B4F7CEDC1}" name="法人／事業所数" totalsRowFunction="sum" totalsRowDxfId="610" dataCellStyle="桁区切り" totalsRowCellStyle="桁区切り"/>
    <tableColumn id="15" xr3:uid="{E68382E3-9793-422C-AB62-AB9EAFAF4EE8}" name="法人／構成比" dataDxfId="609"/>
    <tableColumn id="16" xr3:uid="{1F8A25DD-2010-4D98-AC64-3240D98E9321}" name="法人以外の団体／事業所数" totalsRowFunction="sum" totalsRowDxfId="608" dataCellStyle="桁区切り" totalsRow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64BF7CAA-45CB-441A-8A02-FF1C38C2148E}" name="M_TABLE_11223" displayName="M_TABLE_11223" ref="B23:I44" totalsRowShown="0">
  <autoFilter ref="B23:I44" xr:uid="{64BF7CAA-45CB-441A-8A02-FF1C38C2148E}"/>
  <tableColumns count="8">
    <tableColumn id="9" xr3:uid="{090C7DB6-0DFD-4881-A691-F50AE29B27B2}" name="産業中分類上位２０"/>
    <tableColumn id="10" xr3:uid="{9BEFFF9D-0FF5-4602-B0C6-4533A8DF3469}" name="総数／事業所数" dataCellStyle="桁区切り"/>
    <tableColumn id="11" xr3:uid="{7C362CD3-0595-4393-9714-3ADC088B01B3}" name="総数／構成比" dataDxfId="607"/>
    <tableColumn id="12" xr3:uid="{480243CF-3C67-48D6-93B9-4DF1FD9C33FE}" name="個人／事業所数" dataCellStyle="桁区切り"/>
    <tableColumn id="13" xr3:uid="{8542148A-DB9B-4712-83AB-DC940FA1EE1D}" name="個人／構成比" dataDxfId="606"/>
    <tableColumn id="14" xr3:uid="{E2ED1866-25B3-41C3-B736-D4A83546EFC3}" name="法人／事業所数" dataCellStyle="桁区切り"/>
    <tableColumn id="15" xr3:uid="{DFE84211-4F3F-4AFD-B35A-CB6B6037C8A8}" name="法人／構成比" dataDxfId="605"/>
    <tableColumn id="16" xr3:uid="{C9680195-9EC4-449D-B48D-D6FE31FAD91B}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6BABBDFA-172A-4988-AE51-41F89E91CE32}" name="S_TABLE_11223" displayName="S_TABLE_11223" ref="B47:I67" totalsRowShown="0">
  <autoFilter ref="B47:I67" xr:uid="{6BABBDFA-172A-4988-AE51-41F89E91CE32}"/>
  <tableColumns count="8">
    <tableColumn id="9" xr3:uid="{09B022BC-0A0B-4B0D-B270-9A2DB2DE01AE}" name="産業小分類上位２０"/>
    <tableColumn id="10" xr3:uid="{C2853861-AE65-429A-BF58-6DFA75D79F85}" name="総数／事業所数" dataCellStyle="桁区切り"/>
    <tableColumn id="11" xr3:uid="{E52CAB16-E7A8-40A9-8D1D-30BAA8702D3B}" name="総数／構成比" dataDxfId="604"/>
    <tableColumn id="12" xr3:uid="{C1968F9E-FD74-4911-AB3B-F305513E2813}" name="個人／事業所数" dataCellStyle="桁区切り"/>
    <tableColumn id="13" xr3:uid="{32A6B611-0DA2-42A3-9CBA-201BC7CFF8F3}" name="個人／構成比" dataDxfId="603"/>
    <tableColumn id="14" xr3:uid="{E48521A2-64CC-461F-82CD-ECFF8A9EDA89}" name="法人／事業所数" dataCellStyle="桁区切り"/>
    <tableColumn id="15" xr3:uid="{3006452B-4EBF-4EBC-AF73-F72C0098A3B4}" name="法人／構成比" dataDxfId="602"/>
    <tableColumn id="16" xr3:uid="{A624E45B-2FFF-4FEC-B9F5-558FB7235F62}" name="法人以外の団体／事業所数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DA57323F-FDC2-48CE-A299-829F65F93250}" name="LTBL_11224" displayName="LTBL_11224" ref="B4:I20" totalsRowCount="1">
  <autoFilter ref="B4:I19" xr:uid="{DA57323F-FDC2-48CE-A299-829F65F93250}"/>
  <tableColumns count="8">
    <tableColumn id="9" xr3:uid="{2DC98345-86C8-4125-B4FB-78D642F32C52}" name="産業大分類" totalsRowLabel="合計" totalsRowDxfId="601"/>
    <tableColumn id="10" xr3:uid="{74195948-82D7-4A56-8F9D-28D49D07197C}" name="総数／事業所数" totalsRowFunction="custom" totalsRowDxfId="600" dataCellStyle="桁区切り" totalsRowCellStyle="桁区切り">
      <totalsRowFormula>SUM(LTBL_11224[総数／事業所数])</totalsRowFormula>
    </tableColumn>
    <tableColumn id="11" xr3:uid="{16278523-E439-436A-8283-E6801D421E6F}" name="総数／構成比" dataDxfId="599"/>
    <tableColumn id="12" xr3:uid="{1CF9BED9-9352-4061-A7C9-14A95B9F906A}" name="個人／事業所数" totalsRowFunction="sum" totalsRowDxfId="598" dataCellStyle="桁区切り" totalsRowCellStyle="桁区切り"/>
    <tableColumn id="13" xr3:uid="{A13469F7-A030-4A9B-96B8-86C42EC85A3E}" name="個人／構成比" dataDxfId="597"/>
    <tableColumn id="14" xr3:uid="{F105E6DD-303F-4D29-A2A2-97B14B265148}" name="法人／事業所数" totalsRowFunction="sum" totalsRowDxfId="596" dataCellStyle="桁区切り" totalsRowCellStyle="桁区切り"/>
    <tableColumn id="15" xr3:uid="{087779D3-4B00-42BD-9C8C-654BAD315181}" name="法人／構成比" dataDxfId="595"/>
    <tableColumn id="16" xr3:uid="{964DDF95-57CA-4867-8924-5BDDA6DBFB87}" name="法人以外の団体／事業所数" totalsRowFunction="sum" totalsRowDxfId="594" dataCellStyle="桁区切り" totalsRowCellStyle="桁区切り"/>
  </tableColumns>
  <tableStyleInfo name="TableStyleMedium9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3BEBA386-5608-45F5-8BD1-A18DDA6ED1E8}" name="M_TABLE_11224" displayName="M_TABLE_11224" ref="B23:I43" totalsRowShown="0">
  <autoFilter ref="B23:I43" xr:uid="{3BEBA386-5608-45F5-8BD1-A18DDA6ED1E8}"/>
  <tableColumns count="8">
    <tableColumn id="9" xr3:uid="{D02669F6-6E73-4CF9-9F3C-A9B69D4C3A3F}" name="産業中分類上位２０"/>
    <tableColumn id="10" xr3:uid="{A8155D57-C5B7-4607-8EFD-31534A347A8A}" name="総数／事業所数" dataCellStyle="桁区切り"/>
    <tableColumn id="11" xr3:uid="{B1D09B8D-89B0-4B89-9296-8FAFC59CE01A}" name="総数／構成比" dataDxfId="593"/>
    <tableColumn id="12" xr3:uid="{823DC820-1A16-4647-8710-4812B14C5569}" name="個人／事業所数" dataCellStyle="桁区切り"/>
    <tableColumn id="13" xr3:uid="{1EC88A67-5D50-4F67-8659-152A7D8E0CAC}" name="個人／構成比" dataDxfId="592"/>
    <tableColumn id="14" xr3:uid="{1C44F533-FCF9-4512-AA16-C6CBE6129B78}" name="法人／事業所数" dataCellStyle="桁区切り"/>
    <tableColumn id="15" xr3:uid="{10C99579-ABFA-41E0-A6DA-9211E4E13003}" name="法人／構成比" dataDxfId="591"/>
    <tableColumn id="16" xr3:uid="{3EE9A616-3616-4B89-AFBF-C7D11918A023}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BA20BEF2-D02E-4CA3-AC47-48FF54FD962A}" name="S_TABLE_11224" displayName="S_TABLE_11224" ref="B46:I66" totalsRowShown="0">
  <autoFilter ref="B46:I66" xr:uid="{BA20BEF2-D02E-4CA3-AC47-48FF54FD962A}"/>
  <tableColumns count="8">
    <tableColumn id="9" xr3:uid="{3DBE0383-BEA2-49B9-813A-95BE5EDE6B1A}" name="産業小分類上位２０"/>
    <tableColumn id="10" xr3:uid="{F3E09760-437C-43F5-BCBA-EDAD50167E43}" name="総数／事業所数" dataCellStyle="桁区切り"/>
    <tableColumn id="11" xr3:uid="{0CB5A649-4308-42E9-A621-2BD453B66B61}" name="総数／構成比" dataDxfId="590"/>
    <tableColumn id="12" xr3:uid="{E9957E11-7E9E-497E-846C-E382B37C7CBC}" name="個人／事業所数" dataCellStyle="桁区切り"/>
    <tableColumn id="13" xr3:uid="{A529775A-5E54-4A97-8232-D8F626BD94CA}" name="個人／構成比" dataDxfId="589"/>
    <tableColumn id="14" xr3:uid="{66D67E5D-2D5F-47D3-8DA5-3B33151582FE}" name="法人／事業所数" dataCellStyle="桁区切り"/>
    <tableColumn id="15" xr3:uid="{C6009713-D7E3-4812-A82B-E128CD280EFB}" name="法人／構成比" dataDxfId="588"/>
    <tableColumn id="16" xr3:uid="{5FE4092D-EC9F-433E-8D3E-20C62454C96B}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14F00F72-7E24-4C4F-8439-A8B18F2AF3FC}" name="LTBL_11225" displayName="LTBL_11225" ref="B4:I20" totalsRowCount="1">
  <autoFilter ref="B4:I19" xr:uid="{14F00F72-7E24-4C4F-8439-A8B18F2AF3FC}"/>
  <tableColumns count="8">
    <tableColumn id="9" xr3:uid="{14F13439-905C-4F64-868C-E57FB116B73A}" name="産業大分類" totalsRowLabel="合計" totalsRowDxfId="587"/>
    <tableColumn id="10" xr3:uid="{9EE58917-AC62-4C19-A065-0E1A3ACA2884}" name="総数／事業所数" totalsRowFunction="custom" totalsRowDxfId="586" dataCellStyle="桁区切り" totalsRowCellStyle="桁区切り">
      <totalsRowFormula>SUM(LTBL_11225[総数／事業所数])</totalsRowFormula>
    </tableColumn>
    <tableColumn id="11" xr3:uid="{FC7FF0FD-CD0D-4AA9-ACFA-C55E1B8A2B95}" name="総数／構成比" dataDxfId="585"/>
    <tableColumn id="12" xr3:uid="{53BF4296-9694-4B4C-8CA1-4B9FB5F80610}" name="個人／事業所数" totalsRowFunction="sum" totalsRowDxfId="584" dataCellStyle="桁区切り" totalsRowCellStyle="桁区切り"/>
    <tableColumn id="13" xr3:uid="{33BD23D5-0DD6-4A52-9CF9-D5C39C868DF7}" name="個人／構成比" dataDxfId="583"/>
    <tableColumn id="14" xr3:uid="{D0D2AFE9-7315-469E-8500-A2B8E7CE99BD}" name="法人／事業所数" totalsRowFunction="sum" totalsRowDxfId="582" dataCellStyle="桁区切り" totalsRowCellStyle="桁区切り"/>
    <tableColumn id="15" xr3:uid="{712B5493-DB5D-457D-B3C0-775BB6969BB3}" name="法人／構成比" dataDxfId="581"/>
    <tableColumn id="16" xr3:uid="{96882810-3546-4212-877B-C031DF0F16FC}" name="法人以外の団体／事業所数" totalsRowFunction="sum" totalsRowDxfId="580" dataCellStyle="桁区切り" totalsRow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7F67C382-3092-45F7-9913-7E5D2B0F6BEC}" name="M_TABLE_11225" displayName="M_TABLE_11225" ref="B23:I43" totalsRowShown="0">
  <autoFilter ref="B23:I43" xr:uid="{7F67C382-3092-45F7-9913-7E5D2B0F6BEC}"/>
  <tableColumns count="8">
    <tableColumn id="9" xr3:uid="{AA37A623-68A5-4BAA-8741-587A901AFF29}" name="産業中分類上位２０"/>
    <tableColumn id="10" xr3:uid="{28BA3A78-DE2E-45FB-8C35-63244B2BB62D}" name="総数／事業所数" dataCellStyle="桁区切り"/>
    <tableColumn id="11" xr3:uid="{DCDB2E76-742C-4F3E-8EC8-73F833D88521}" name="総数／構成比" dataDxfId="579"/>
    <tableColumn id="12" xr3:uid="{DC4497A9-0041-4073-92B4-BB72795AB994}" name="個人／事業所数" dataCellStyle="桁区切り"/>
    <tableColumn id="13" xr3:uid="{3B1A731D-0F3A-41D1-A57D-B6B3938AA3D0}" name="個人／構成比" dataDxfId="578"/>
    <tableColumn id="14" xr3:uid="{A234B745-F50C-48EA-9927-D7518DAD43F8}" name="法人／事業所数" dataCellStyle="桁区切り"/>
    <tableColumn id="15" xr3:uid="{CA40AC67-1DF2-4836-8D63-2E28F008E851}" name="法人／構成比" dataDxfId="577"/>
    <tableColumn id="16" xr3:uid="{28E494D9-8715-4F4D-8B05-553C2A68DA1D}" name="法人以外の団体／事業所数" dataCellStyle="桁区切り"/>
  </tableColumns>
  <tableStyleInfo name="TableStyleMedium9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734F9B29-6A0B-4DD6-903F-F02C18B408FA}" name="S_TABLE_11225" displayName="S_TABLE_11225" ref="B46:I67" totalsRowShown="0">
  <autoFilter ref="B46:I67" xr:uid="{734F9B29-6A0B-4DD6-903F-F02C18B408FA}"/>
  <tableColumns count="8">
    <tableColumn id="9" xr3:uid="{0BF1EE42-9D20-4550-8EF3-FAA7FE310351}" name="産業小分類上位２０"/>
    <tableColumn id="10" xr3:uid="{1E0A2A57-6135-41F8-9D6B-05066814EA1F}" name="総数／事業所数" dataCellStyle="桁区切り"/>
    <tableColumn id="11" xr3:uid="{93376E31-80C5-4B9B-A87C-C032BAB7CC73}" name="総数／構成比" dataDxfId="576"/>
    <tableColumn id="12" xr3:uid="{DC471E79-024B-42E7-A646-99CC3666D4F2}" name="個人／事業所数" dataCellStyle="桁区切り"/>
    <tableColumn id="13" xr3:uid="{7003A025-0678-4351-9A4E-69933BD2E426}" name="個人／構成比" dataDxfId="575"/>
    <tableColumn id="14" xr3:uid="{FF883DA1-90CA-4226-8198-46EF4FE13E92}" name="法人／事業所数" dataCellStyle="桁区切り"/>
    <tableColumn id="15" xr3:uid="{91352137-37F8-44C5-A01F-609C6AB13052}" name="法人／構成比" dataDxfId="574"/>
    <tableColumn id="16" xr3:uid="{71DAD54D-B12B-4AD7-8B03-6815C7051FFB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5.bin"/><Relationship Id="rId4" Type="http://schemas.openxmlformats.org/officeDocument/2006/relationships/table" Target="../tables/table6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69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7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table" Target="../tables/table76.xml"/><Relationship Id="rId1" Type="http://schemas.openxmlformats.org/officeDocument/2006/relationships/printerSettings" Target="../printerSettings/printerSettings29.bin"/><Relationship Id="rId4" Type="http://schemas.openxmlformats.org/officeDocument/2006/relationships/table" Target="../tables/table7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0.xml"/><Relationship Id="rId2" Type="http://schemas.openxmlformats.org/officeDocument/2006/relationships/table" Target="../tables/table79.xml"/><Relationship Id="rId1" Type="http://schemas.openxmlformats.org/officeDocument/2006/relationships/printerSettings" Target="../printerSettings/printerSettings30.bin"/><Relationship Id="rId4" Type="http://schemas.openxmlformats.org/officeDocument/2006/relationships/table" Target="../tables/table8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3.xml"/><Relationship Id="rId2" Type="http://schemas.openxmlformats.org/officeDocument/2006/relationships/table" Target="../tables/table82.xml"/><Relationship Id="rId1" Type="http://schemas.openxmlformats.org/officeDocument/2006/relationships/printerSettings" Target="../printerSettings/printerSettings31.bin"/><Relationship Id="rId4" Type="http://schemas.openxmlformats.org/officeDocument/2006/relationships/table" Target="../tables/table8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32.bin"/><Relationship Id="rId4" Type="http://schemas.openxmlformats.org/officeDocument/2006/relationships/table" Target="../tables/table87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9.xml"/><Relationship Id="rId2" Type="http://schemas.openxmlformats.org/officeDocument/2006/relationships/table" Target="../tables/table88.xml"/><Relationship Id="rId1" Type="http://schemas.openxmlformats.org/officeDocument/2006/relationships/printerSettings" Target="../printerSettings/printerSettings33.bin"/><Relationship Id="rId4" Type="http://schemas.openxmlformats.org/officeDocument/2006/relationships/table" Target="../tables/table90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2.xml"/><Relationship Id="rId2" Type="http://schemas.openxmlformats.org/officeDocument/2006/relationships/table" Target="../tables/table91.xml"/><Relationship Id="rId1" Type="http://schemas.openxmlformats.org/officeDocument/2006/relationships/printerSettings" Target="../printerSettings/printerSettings34.bin"/><Relationship Id="rId4" Type="http://schemas.openxmlformats.org/officeDocument/2006/relationships/table" Target="../tables/table9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5.xml"/><Relationship Id="rId2" Type="http://schemas.openxmlformats.org/officeDocument/2006/relationships/table" Target="../tables/table94.xml"/><Relationship Id="rId1" Type="http://schemas.openxmlformats.org/officeDocument/2006/relationships/printerSettings" Target="../printerSettings/printerSettings35.bin"/><Relationship Id="rId4" Type="http://schemas.openxmlformats.org/officeDocument/2006/relationships/table" Target="../tables/table96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36.bin"/><Relationship Id="rId4" Type="http://schemas.openxmlformats.org/officeDocument/2006/relationships/table" Target="../tables/table99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1.xml"/><Relationship Id="rId2" Type="http://schemas.openxmlformats.org/officeDocument/2006/relationships/table" Target="../tables/table100.xml"/><Relationship Id="rId1" Type="http://schemas.openxmlformats.org/officeDocument/2006/relationships/printerSettings" Target="../printerSettings/printerSettings37.bin"/><Relationship Id="rId4" Type="http://schemas.openxmlformats.org/officeDocument/2006/relationships/table" Target="../tables/table102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4.xml"/><Relationship Id="rId2" Type="http://schemas.openxmlformats.org/officeDocument/2006/relationships/table" Target="../tables/table103.xml"/><Relationship Id="rId1" Type="http://schemas.openxmlformats.org/officeDocument/2006/relationships/printerSettings" Target="../printerSettings/printerSettings38.bin"/><Relationship Id="rId4" Type="http://schemas.openxmlformats.org/officeDocument/2006/relationships/table" Target="../tables/table10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7.xml"/><Relationship Id="rId2" Type="http://schemas.openxmlformats.org/officeDocument/2006/relationships/table" Target="../tables/table106.xml"/><Relationship Id="rId1" Type="http://schemas.openxmlformats.org/officeDocument/2006/relationships/printerSettings" Target="../printerSettings/printerSettings39.bin"/><Relationship Id="rId4" Type="http://schemas.openxmlformats.org/officeDocument/2006/relationships/table" Target="../tables/table108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40.bin"/><Relationship Id="rId4" Type="http://schemas.openxmlformats.org/officeDocument/2006/relationships/table" Target="../tables/table111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3.xml"/><Relationship Id="rId2" Type="http://schemas.openxmlformats.org/officeDocument/2006/relationships/table" Target="../tables/table112.xml"/><Relationship Id="rId1" Type="http://schemas.openxmlformats.org/officeDocument/2006/relationships/printerSettings" Target="../printerSettings/printerSettings41.bin"/><Relationship Id="rId4" Type="http://schemas.openxmlformats.org/officeDocument/2006/relationships/table" Target="../tables/table114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6.xml"/><Relationship Id="rId2" Type="http://schemas.openxmlformats.org/officeDocument/2006/relationships/table" Target="../tables/table115.xml"/><Relationship Id="rId1" Type="http://schemas.openxmlformats.org/officeDocument/2006/relationships/printerSettings" Target="../printerSettings/printerSettings42.bin"/><Relationship Id="rId4" Type="http://schemas.openxmlformats.org/officeDocument/2006/relationships/table" Target="../tables/table117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9.xml"/><Relationship Id="rId2" Type="http://schemas.openxmlformats.org/officeDocument/2006/relationships/table" Target="../tables/table118.xml"/><Relationship Id="rId1" Type="http://schemas.openxmlformats.org/officeDocument/2006/relationships/printerSettings" Target="../printerSettings/printerSettings43.bin"/><Relationship Id="rId4" Type="http://schemas.openxmlformats.org/officeDocument/2006/relationships/table" Target="../tables/table120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44.bin"/><Relationship Id="rId4" Type="http://schemas.openxmlformats.org/officeDocument/2006/relationships/table" Target="../tables/table12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5.xml"/><Relationship Id="rId2" Type="http://schemas.openxmlformats.org/officeDocument/2006/relationships/table" Target="../tables/table124.xml"/><Relationship Id="rId1" Type="http://schemas.openxmlformats.org/officeDocument/2006/relationships/printerSettings" Target="../printerSettings/printerSettings45.bin"/><Relationship Id="rId4" Type="http://schemas.openxmlformats.org/officeDocument/2006/relationships/table" Target="../tables/table126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8.xml"/><Relationship Id="rId2" Type="http://schemas.openxmlformats.org/officeDocument/2006/relationships/table" Target="../tables/table127.xml"/><Relationship Id="rId1" Type="http://schemas.openxmlformats.org/officeDocument/2006/relationships/printerSettings" Target="../printerSettings/printerSettings46.bin"/><Relationship Id="rId4" Type="http://schemas.openxmlformats.org/officeDocument/2006/relationships/table" Target="../tables/table129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1.xml"/><Relationship Id="rId2" Type="http://schemas.openxmlformats.org/officeDocument/2006/relationships/table" Target="../tables/table130.xml"/><Relationship Id="rId1" Type="http://schemas.openxmlformats.org/officeDocument/2006/relationships/printerSettings" Target="../printerSettings/printerSettings47.bin"/><Relationship Id="rId4" Type="http://schemas.openxmlformats.org/officeDocument/2006/relationships/table" Target="../tables/table132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48.bin"/><Relationship Id="rId4" Type="http://schemas.openxmlformats.org/officeDocument/2006/relationships/table" Target="../tables/table13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7.xml"/><Relationship Id="rId2" Type="http://schemas.openxmlformats.org/officeDocument/2006/relationships/table" Target="../tables/table136.xml"/><Relationship Id="rId1" Type="http://schemas.openxmlformats.org/officeDocument/2006/relationships/printerSettings" Target="../printerSettings/printerSettings49.bin"/><Relationship Id="rId4" Type="http://schemas.openxmlformats.org/officeDocument/2006/relationships/table" Target="../tables/table138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0.xml"/><Relationship Id="rId2" Type="http://schemas.openxmlformats.org/officeDocument/2006/relationships/table" Target="../tables/table139.xml"/><Relationship Id="rId1" Type="http://schemas.openxmlformats.org/officeDocument/2006/relationships/printerSettings" Target="../printerSettings/printerSettings50.bin"/><Relationship Id="rId4" Type="http://schemas.openxmlformats.org/officeDocument/2006/relationships/table" Target="../tables/table141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3.xml"/><Relationship Id="rId2" Type="http://schemas.openxmlformats.org/officeDocument/2006/relationships/table" Target="../tables/table142.xml"/><Relationship Id="rId1" Type="http://schemas.openxmlformats.org/officeDocument/2006/relationships/printerSettings" Target="../printerSettings/printerSettings51.bin"/><Relationship Id="rId4" Type="http://schemas.openxmlformats.org/officeDocument/2006/relationships/table" Target="../tables/table144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6.xml"/><Relationship Id="rId2" Type="http://schemas.openxmlformats.org/officeDocument/2006/relationships/table" Target="../tables/table145.xml"/><Relationship Id="rId1" Type="http://schemas.openxmlformats.org/officeDocument/2006/relationships/printerSettings" Target="../printerSettings/printerSettings52.bin"/><Relationship Id="rId4" Type="http://schemas.openxmlformats.org/officeDocument/2006/relationships/table" Target="../tables/table147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9.xml"/><Relationship Id="rId2" Type="http://schemas.openxmlformats.org/officeDocument/2006/relationships/table" Target="../tables/table148.xml"/><Relationship Id="rId1" Type="http://schemas.openxmlformats.org/officeDocument/2006/relationships/printerSettings" Target="../printerSettings/printerSettings53.bin"/><Relationship Id="rId4" Type="http://schemas.openxmlformats.org/officeDocument/2006/relationships/table" Target="../tables/table150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2.xml"/><Relationship Id="rId2" Type="http://schemas.openxmlformats.org/officeDocument/2006/relationships/table" Target="../tables/table151.xml"/><Relationship Id="rId1" Type="http://schemas.openxmlformats.org/officeDocument/2006/relationships/printerSettings" Target="../printerSettings/printerSettings54.bin"/><Relationship Id="rId4" Type="http://schemas.openxmlformats.org/officeDocument/2006/relationships/table" Target="../tables/table153.xm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5.xml"/><Relationship Id="rId2" Type="http://schemas.openxmlformats.org/officeDocument/2006/relationships/table" Target="../tables/table154.xml"/><Relationship Id="rId1" Type="http://schemas.openxmlformats.org/officeDocument/2006/relationships/printerSettings" Target="../printerSettings/printerSettings55.bin"/><Relationship Id="rId4" Type="http://schemas.openxmlformats.org/officeDocument/2006/relationships/table" Target="../tables/table156.xm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8.xml"/><Relationship Id="rId2" Type="http://schemas.openxmlformats.org/officeDocument/2006/relationships/table" Target="../tables/table157.xml"/><Relationship Id="rId1" Type="http://schemas.openxmlformats.org/officeDocument/2006/relationships/printerSettings" Target="../printerSettings/printerSettings56.bin"/><Relationship Id="rId4" Type="http://schemas.openxmlformats.org/officeDocument/2006/relationships/table" Target="../tables/table159.x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1.xml"/><Relationship Id="rId2" Type="http://schemas.openxmlformats.org/officeDocument/2006/relationships/table" Target="../tables/table160.xml"/><Relationship Id="rId1" Type="http://schemas.openxmlformats.org/officeDocument/2006/relationships/printerSettings" Target="../printerSettings/printerSettings57.bin"/><Relationship Id="rId4" Type="http://schemas.openxmlformats.org/officeDocument/2006/relationships/table" Target="../tables/table162.x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4.xml"/><Relationship Id="rId2" Type="http://schemas.openxmlformats.org/officeDocument/2006/relationships/table" Target="../tables/table163.xml"/><Relationship Id="rId1" Type="http://schemas.openxmlformats.org/officeDocument/2006/relationships/printerSettings" Target="../printerSettings/printerSettings58.bin"/><Relationship Id="rId4" Type="http://schemas.openxmlformats.org/officeDocument/2006/relationships/table" Target="../tables/table16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7.xml"/><Relationship Id="rId2" Type="http://schemas.openxmlformats.org/officeDocument/2006/relationships/table" Target="../tables/table166.xml"/><Relationship Id="rId1" Type="http://schemas.openxmlformats.org/officeDocument/2006/relationships/printerSettings" Target="../printerSettings/printerSettings59.bin"/><Relationship Id="rId4" Type="http://schemas.openxmlformats.org/officeDocument/2006/relationships/table" Target="../tables/table168.xml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0.xml"/><Relationship Id="rId2" Type="http://schemas.openxmlformats.org/officeDocument/2006/relationships/table" Target="../tables/table169.xml"/><Relationship Id="rId1" Type="http://schemas.openxmlformats.org/officeDocument/2006/relationships/printerSettings" Target="../printerSettings/printerSettings60.bin"/><Relationship Id="rId4" Type="http://schemas.openxmlformats.org/officeDocument/2006/relationships/table" Target="../tables/table171.xm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3.xml"/><Relationship Id="rId2" Type="http://schemas.openxmlformats.org/officeDocument/2006/relationships/table" Target="../tables/table172.xml"/><Relationship Id="rId1" Type="http://schemas.openxmlformats.org/officeDocument/2006/relationships/printerSettings" Target="../printerSettings/printerSettings61.bin"/><Relationship Id="rId4" Type="http://schemas.openxmlformats.org/officeDocument/2006/relationships/table" Target="../tables/table174.xm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6.xml"/><Relationship Id="rId2" Type="http://schemas.openxmlformats.org/officeDocument/2006/relationships/table" Target="../tables/table175.xml"/><Relationship Id="rId1" Type="http://schemas.openxmlformats.org/officeDocument/2006/relationships/printerSettings" Target="../printerSettings/printerSettings62.bin"/><Relationship Id="rId4" Type="http://schemas.openxmlformats.org/officeDocument/2006/relationships/table" Target="../tables/table177.xml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9.xml"/><Relationship Id="rId2" Type="http://schemas.openxmlformats.org/officeDocument/2006/relationships/table" Target="../tables/table178.xml"/><Relationship Id="rId1" Type="http://schemas.openxmlformats.org/officeDocument/2006/relationships/printerSettings" Target="../printerSettings/printerSettings63.bin"/><Relationship Id="rId4" Type="http://schemas.openxmlformats.org/officeDocument/2006/relationships/table" Target="../tables/table180.xm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2.xml"/><Relationship Id="rId2" Type="http://schemas.openxmlformats.org/officeDocument/2006/relationships/table" Target="../tables/table181.xml"/><Relationship Id="rId1" Type="http://schemas.openxmlformats.org/officeDocument/2006/relationships/printerSettings" Target="../printerSettings/printerSettings64.bin"/><Relationship Id="rId4" Type="http://schemas.openxmlformats.org/officeDocument/2006/relationships/table" Target="../tables/table183.xml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5.xml"/><Relationship Id="rId2" Type="http://schemas.openxmlformats.org/officeDocument/2006/relationships/table" Target="../tables/table184.xml"/><Relationship Id="rId1" Type="http://schemas.openxmlformats.org/officeDocument/2006/relationships/printerSettings" Target="../printerSettings/printerSettings65.bin"/><Relationship Id="rId4" Type="http://schemas.openxmlformats.org/officeDocument/2006/relationships/table" Target="../tables/table186.xml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8.xml"/><Relationship Id="rId2" Type="http://schemas.openxmlformats.org/officeDocument/2006/relationships/table" Target="../tables/table187.xml"/><Relationship Id="rId1" Type="http://schemas.openxmlformats.org/officeDocument/2006/relationships/printerSettings" Target="../printerSettings/printerSettings66.bin"/><Relationship Id="rId4" Type="http://schemas.openxmlformats.org/officeDocument/2006/relationships/table" Target="../tables/table189.xml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1.xml"/><Relationship Id="rId2" Type="http://schemas.openxmlformats.org/officeDocument/2006/relationships/table" Target="../tables/table190.xml"/><Relationship Id="rId1" Type="http://schemas.openxmlformats.org/officeDocument/2006/relationships/printerSettings" Target="../printerSettings/printerSettings67.bin"/><Relationship Id="rId4" Type="http://schemas.openxmlformats.org/officeDocument/2006/relationships/table" Target="../tables/table192.xml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4.xml"/><Relationship Id="rId2" Type="http://schemas.openxmlformats.org/officeDocument/2006/relationships/table" Target="../tables/table193.xml"/><Relationship Id="rId1" Type="http://schemas.openxmlformats.org/officeDocument/2006/relationships/printerSettings" Target="../printerSettings/printerSettings68.bin"/><Relationship Id="rId4" Type="http://schemas.openxmlformats.org/officeDocument/2006/relationships/table" Target="../tables/table19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7.xml"/><Relationship Id="rId2" Type="http://schemas.openxmlformats.org/officeDocument/2006/relationships/table" Target="../tables/table196.xml"/><Relationship Id="rId1" Type="http://schemas.openxmlformats.org/officeDocument/2006/relationships/printerSettings" Target="../printerSettings/printerSettings69.bin"/><Relationship Id="rId4" Type="http://schemas.openxmlformats.org/officeDocument/2006/relationships/table" Target="../tables/table198.xml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0.xml"/><Relationship Id="rId2" Type="http://schemas.openxmlformats.org/officeDocument/2006/relationships/table" Target="../tables/table199.xml"/><Relationship Id="rId1" Type="http://schemas.openxmlformats.org/officeDocument/2006/relationships/printerSettings" Target="../printerSettings/printerSettings70.bin"/><Relationship Id="rId4" Type="http://schemas.openxmlformats.org/officeDocument/2006/relationships/table" Target="../tables/table201.xml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3.xml"/><Relationship Id="rId2" Type="http://schemas.openxmlformats.org/officeDocument/2006/relationships/table" Target="../tables/table202.xml"/><Relationship Id="rId1" Type="http://schemas.openxmlformats.org/officeDocument/2006/relationships/printerSettings" Target="../printerSettings/printerSettings71.bin"/><Relationship Id="rId4" Type="http://schemas.openxmlformats.org/officeDocument/2006/relationships/table" Target="../tables/table204.xml"/></Relationships>
</file>

<file path=xl/worksheets/_rels/sheet7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6.xml"/><Relationship Id="rId2" Type="http://schemas.openxmlformats.org/officeDocument/2006/relationships/table" Target="../tables/table205.xml"/><Relationship Id="rId1" Type="http://schemas.openxmlformats.org/officeDocument/2006/relationships/printerSettings" Target="../printerSettings/printerSettings72.bin"/><Relationship Id="rId4" Type="http://schemas.openxmlformats.org/officeDocument/2006/relationships/table" Target="../tables/table207.xml"/></Relationships>
</file>

<file path=xl/worksheets/_rels/sheet7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9.xml"/><Relationship Id="rId2" Type="http://schemas.openxmlformats.org/officeDocument/2006/relationships/table" Target="../tables/table208.xml"/><Relationship Id="rId1" Type="http://schemas.openxmlformats.org/officeDocument/2006/relationships/printerSettings" Target="../printerSettings/printerSettings73.bin"/><Relationship Id="rId4" Type="http://schemas.openxmlformats.org/officeDocument/2006/relationships/table" Target="../tables/table210.xml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2.xml"/><Relationship Id="rId2" Type="http://schemas.openxmlformats.org/officeDocument/2006/relationships/table" Target="../tables/table211.xml"/><Relationship Id="rId1" Type="http://schemas.openxmlformats.org/officeDocument/2006/relationships/printerSettings" Target="../printerSettings/printerSettings74.bin"/><Relationship Id="rId4" Type="http://schemas.openxmlformats.org/officeDocument/2006/relationships/table" Target="../tables/table213.xml"/></Relationships>
</file>

<file path=xl/worksheets/_rels/sheet7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5.xml"/><Relationship Id="rId2" Type="http://schemas.openxmlformats.org/officeDocument/2006/relationships/table" Target="../tables/table214.xml"/><Relationship Id="rId1" Type="http://schemas.openxmlformats.org/officeDocument/2006/relationships/printerSettings" Target="../printerSettings/printerSettings75.bin"/><Relationship Id="rId4" Type="http://schemas.openxmlformats.org/officeDocument/2006/relationships/table" Target="../tables/table216.xml"/></Relationships>
</file>

<file path=xl/worksheets/_rels/sheet7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8.xml"/><Relationship Id="rId2" Type="http://schemas.openxmlformats.org/officeDocument/2006/relationships/table" Target="../tables/table217.xml"/><Relationship Id="rId1" Type="http://schemas.openxmlformats.org/officeDocument/2006/relationships/printerSettings" Target="../printerSettings/printerSettings76.bin"/><Relationship Id="rId4" Type="http://schemas.openxmlformats.org/officeDocument/2006/relationships/table" Target="../tables/table219.xml"/></Relationships>
</file>

<file path=xl/worksheets/_rels/sheet7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1.xml"/><Relationship Id="rId2" Type="http://schemas.openxmlformats.org/officeDocument/2006/relationships/table" Target="../tables/table220.xml"/><Relationship Id="rId1" Type="http://schemas.openxmlformats.org/officeDocument/2006/relationships/printerSettings" Target="../printerSettings/printerSettings77.bin"/><Relationship Id="rId4" Type="http://schemas.openxmlformats.org/officeDocument/2006/relationships/table" Target="../tables/table22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6312C-0FC7-40B0-946B-BBD858B431B6}">
  <dimension ref="A1:B78"/>
  <sheetViews>
    <sheetView tabSelected="1" workbookViewId="0"/>
  </sheetViews>
  <sheetFormatPr defaultRowHeight="13.2" x14ac:dyDescent="0.2"/>
  <sheetData>
    <row r="1" spans="1:2" x14ac:dyDescent="0.2">
      <c r="A1" t="s">
        <v>420</v>
      </c>
    </row>
    <row r="2" spans="1:2" x14ac:dyDescent="0.2">
      <c r="B2" s="13" t="s">
        <v>268</v>
      </c>
    </row>
    <row r="3" spans="1:2" x14ac:dyDescent="0.2">
      <c r="B3" s="13" t="s">
        <v>156</v>
      </c>
    </row>
    <row r="4" spans="1:2" x14ac:dyDescent="0.2">
      <c r="B4" s="13" t="s">
        <v>266</v>
      </c>
    </row>
    <row r="5" spans="1:2" x14ac:dyDescent="0.2">
      <c r="B5" s="13" t="s">
        <v>346</v>
      </c>
    </row>
    <row r="6" spans="1:2" x14ac:dyDescent="0.2">
      <c r="B6" s="13" t="s">
        <v>347</v>
      </c>
    </row>
    <row r="7" spans="1:2" x14ac:dyDescent="0.2">
      <c r="B7" s="13" t="s">
        <v>348</v>
      </c>
    </row>
    <row r="8" spans="1:2" x14ac:dyDescent="0.2">
      <c r="B8" s="13" t="s">
        <v>349</v>
      </c>
    </row>
    <row r="9" spans="1:2" x14ac:dyDescent="0.2">
      <c r="B9" s="13" t="s">
        <v>350</v>
      </c>
    </row>
    <row r="10" spans="1:2" x14ac:dyDescent="0.2">
      <c r="B10" s="13" t="s">
        <v>351</v>
      </c>
    </row>
    <row r="11" spans="1:2" x14ac:dyDescent="0.2">
      <c r="B11" s="13" t="s">
        <v>352</v>
      </c>
    </row>
    <row r="12" spans="1:2" x14ac:dyDescent="0.2">
      <c r="B12" s="13" t="s">
        <v>353</v>
      </c>
    </row>
    <row r="13" spans="1:2" x14ac:dyDescent="0.2">
      <c r="B13" s="13" t="s">
        <v>354</v>
      </c>
    </row>
    <row r="14" spans="1:2" x14ac:dyDescent="0.2">
      <c r="B14" s="13" t="s">
        <v>355</v>
      </c>
    </row>
    <row r="15" spans="1:2" x14ac:dyDescent="0.2">
      <c r="B15" s="13" t="s">
        <v>356</v>
      </c>
    </row>
    <row r="16" spans="1:2" x14ac:dyDescent="0.2">
      <c r="B16" s="13" t="s">
        <v>357</v>
      </c>
    </row>
    <row r="17" spans="2:2" x14ac:dyDescent="0.2">
      <c r="B17" s="13" t="s">
        <v>358</v>
      </c>
    </row>
    <row r="18" spans="2:2" x14ac:dyDescent="0.2">
      <c r="B18" s="13" t="s">
        <v>359</v>
      </c>
    </row>
    <row r="19" spans="2:2" x14ac:dyDescent="0.2">
      <c r="B19" s="13" t="s">
        <v>360</v>
      </c>
    </row>
    <row r="20" spans="2:2" x14ac:dyDescent="0.2">
      <c r="B20" s="13" t="s">
        <v>361</v>
      </c>
    </row>
    <row r="21" spans="2:2" x14ac:dyDescent="0.2">
      <c r="B21" s="13" t="s">
        <v>362</v>
      </c>
    </row>
    <row r="22" spans="2:2" x14ac:dyDescent="0.2">
      <c r="B22" s="13" t="s">
        <v>363</v>
      </c>
    </row>
    <row r="23" spans="2:2" x14ac:dyDescent="0.2">
      <c r="B23" s="13" t="s">
        <v>364</v>
      </c>
    </row>
    <row r="24" spans="2:2" x14ac:dyDescent="0.2">
      <c r="B24" s="13" t="s">
        <v>365</v>
      </c>
    </row>
    <row r="25" spans="2:2" x14ac:dyDescent="0.2">
      <c r="B25" s="13" t="s">
        <v>366</v>
      </c>
    </row>
    <row r="26" spans="2:2" x14ac:dyDescent="0.2">
      <c r="B26" s="13" t="s">
        <v>367</v>
      </c>
    </row>
    <row r="27" spans="2:2" x14ac:dyDescent="0.2">
      <c r="B27" s="13" t="s">
        <v>368</v>
      </c>
    </row>
    <row r="28" spans="2:2" x14ac:dyDescent="0.2">
      <c r="B28" s="13" t="s">
        <v>369</v>
      </c>
    </row>
    <row r="29" spans="2:2" x14ac:dyDescent="0.2">
      <c r="B29" s="13" t="s">
        <v>370</v>
      </c>
    </row>
    <row r="30" spans="2:2" x14ac:dyDescent="0.2">
      <c r="B30" s="13" t="s">
        <v>371</v>
      </c>
    </row>
    <row r="31" spans="2:2" x14ac:dyDescent="0.2">
      <c r="B31" s="13" t="s">
        <v>372</v>
      </c>
    </row>
    <row r="32" spans="2:2" x14ac:dyDescent="0.2">
      <c r="B32" s="13" t="s">
        <v>373</v>
      </c>
    </row>
    <row r="33" spans="2:2" x14ac:dyDescent="0.2">
      <c r="B33" s="13" t="s">
        <v>374</v>
      </c>
    </row>
    <row r="34" spans="2:2" x14ac:dyDescent="0.2">
      <c r="B34" s="13" t="s">
        <v>375</v>
      </c>
    </row>
    <row r="35" spans="2:2" x14ac:dyDescent="0.2">
      <c r="B35" s="13" t="s">
        <v>376</v>
      </c>
    </row>
    <row r="36" spans="2:2" x14ac:dyDescent="0.2">
      <c r="B36" s="13" t="s">
        <v>377</v>
      </c>
    </row>
    <row r="37" spans="2:2" x14ac:dyDescent="0.2">
      <c r="B37" s="13" t="s">
        <v>378</v>
      </c>
    </row>
    <row r="38" spans="2:2" x14ac:dyDescent="0.2">
      <c r="B38" s="13" t="s">
        <v>379</v>
      </c>
    </row>
    <row r="39" spans="2:2" x14ac:dyDescent="0.2">
      <c r="B39" s="13" t="s">
        <v>380</v>
      </c>
    </row>
    <row r="40" spans="2:2" x14ac:dyDescent="0.2">
      <c r="B40" s="13" t="s">
        <v>381</v>
      </c>
    </row>
    <row r="41" spans="2:2" x14ac:dyDescent="0.2">
      <c r="B41" s="13" t="s">
        <v>382</v>
      </c>
    </row>
    <row r="42" spans="2:2" x14ac:dyDescent="0.2">
      <c r="B42" s="13" t="s">
        <v>383</v>
      </c>
    </row>
    <row r="43" spans="2:2" x14ac:dyDescent="0.2">
      <c r="B43" s="13" t="s">
        <v>384</v>
      </c>
    </row>
    <row r="44" spans="2:2" x14ac:dyDescent="0.2">
      <c r="B44" s="13" t="s">
        <v>385</v>
      </c>
    </row>
    <row r="45" spans="2:2" x14ac:dyDescent="0.2">
      <c r="B45" s="13" t="s">
        <v>386</v>
      </c>
    </row>
    <row r="46" spans="2:2" x14ac:dyDescent="0.2">
      <c r="B46" s="13" t="s">
        <v>387</v>
      </c>
    </row>
    <row r="47" spans="2:2" x14ac:dyDescent="0.2">
      <c r="B47" s="13" t="s">
        <v>388</v>
      </c>
    </row>
    <row r="48" spans="2:2" x14ac:dyDescent="0.2">
      <c r="B48" s="13" t="s">
        <v>389</v>
      </c>
    </row>
    <row r="49" spans="2:2" x14ac:dyDescent="0.2">
      <c r="B49" s="13" t="s">
        <v>390</v>
      </c>
    </row>
    <row r="50" spans="2:2" x14ac:dyDescent="0.2">
      <c r="B50" s="13" t="s">
        <v>391</v>
      </c>
    </row>
    <row r="51" spans="2:2" x14ac:dyDescent="0.2">
      <c r="B51" s="13" t="s">
        <v>392</v>
      </c>
    </row>
    <row r="52" spans="2:2" x14ac:dyDescent="0.2">
      <c r="B52" s="13" t="s">
        <v>393</v>
      </c>
    </row>
    <row r="53" spans="2:2" x14ac:dyDescent="0.2">
      <c r="B53" s="13" t="s">
        <v>394</v>
      </c>
    </row>
    <row r="54" spans="2:2" x14ac:dyDescent="0.2">
      <c r="B54" s="13" t="s">
        <v>395</v>
      </c>
    </row>
    <row r="55" spans="2:2" x14ac:dyDescent="0.2">
      <c r="B55" s="13" t="s">
        <v>396</v>
      </c>
    </row>
    <row r="56" spans="2:2" x14ac:dyDescent="0.2">
      <c r="B56" s="13" t="s">
        <v>397</v>
      </c>
    </row>
    <row r="57" spans="2:2" x14ac:dyDescent="0.2">
      <c r="B57" s="13" t="s">
        <v>398</v>
      </c>
    </row>
    <row r="58" spans="2:2" x14ac:dyDescent="0.2">
      <c r="B58" s="13" t="s">
        <v>399</v>
      </c>
    </row>
    <row r="59" spans="2:2" x14ac:dyDescent="0.2">
      <c r="B59" s="13" t="s">
        <v>400</v>
      </c>
    </row>
    <row r="60" spans="2:2" x14ac:dyDescent="0.2">
      <c r="B60" s="13" t="s">
        <v>401</v>
      </c>
    </row>
    <row r="61" spans="2:2" x14ac:dyDescent="0.2">
      <c r="B61" s="13" t="s">
        <v>402</v>
      </c>
    </row>
    <row r="62" spans="2:2" x14ac:dyDescent="0.2">
      <c r="B62" s="13" t="s">
        <v>403</v>
      </c>
    </row>
    <row r="63" spans="2:2" x14ac:dyDescent="0.2">
      <c r="B63" s="13" t="s">
        <v>404</v>
      </c>
    </row>
    <row r="64" spans="2:2" x14ac:dyDescent="0.2">
      <c r="B64" s="13" t="s">
        <v>405</v>
      </c>
    </row>
    <row r="65" spans="2:2" x14ac:dyDescent="0.2">
      <c r="B65" s="13" t="s">
        <v>406</v>
      </c>
    </row>
    <row r="66" spans="2:2" x14ac:dyDescent="0.2">
      <c r="B66" s="13" t="s">
        <v>407</v>
      </c>
    </row>
    <row r="67" spans="2:2" x14ac:dyDescent="0.2">
      <c r="B67" s="13" t="s">
        <v>408</v>
      </c>
    </row>
    <row r="68" spans="2:2" x14ac:dyDescent="0.2">
      <c r="B68" s="13" t="s">
        <v>409</v>
      </c>
    </row>
    <row r="69" spans="2:2" x14ac:dyDescent="0.2">
      <c r="B69" s="13" t="s">
        <v>410</v>
      </c>
    </row>
    <row r="70" spans="2:2" x14ac:dyDescent="0.2">
      <c r="B70" s="13" t="s">
        <v>411</v>
      </c>
    </row>
    <row r="71" spans="2:2" x14ac:dyDescent="0.2">
      <c r="B71" s="13" t="s">
        <v>412</v>
      </c>
    </row>
    <row r="72" spans="2:2" x14ac:dyDescent="0.2">
      <c r="B72" s="13" t="s">
        <v>413</v>
      </c>
    </row>
    <row r="73" spans="2:2" x14ac:dyDescent="0.2">
      <c r="B73" s="13" t="s">
        <v>414</v>
      </c>
    </row>
    <row r="74" spans="2:2" x14ac:dyDescent="0.2">
      <c r="B74" s="13" t="s">
        <v>415</v>
      </c>
    </row>
    <row r="75" spans="2:2" x14ac:dyDescent="0.2">
      <c r="B75" s="13" t="s">
        <v>416</v>
      </c>
    </row>
    <row r="76" spans="2:2" x14ac:dyDescent="0.2">
      <c r="B76" s="13" t="s">
        <v>417</v>
      </c>
    </row>
    <row r="77" spans="2:2" x14ac:dyDescent="0.2">
      <c r="B77" s="13" t="s">
        <v>418</v>
      </c>
    </row>
    <row r="78" spans="2:2" x14ac:dyDescent="0.2">
      <c r="B78" s="13" t="s">
        <v>419</v>
      </c>
    </row>
  </sheetData>
  <phoneticPr fontId="1"/>
  <hyperlinks>
    <hyperlink ref="B2" location="'産業大分類'!a1" display="産業大分類" xr:uid="{D673A306-9DD2-46F4-995F-CB6CD3085FEE}"/>
    <hyperlink ref="B3" location="'産業中分類'!a1" display="産業中分類" xr:uid="{15DEB637-B654-4486-9168-E635BC883E3D}"/>
    <hyperlink ref="B4" location="'産業小分類'!a1" display="産業小分類" xr:uid="{9935ECCE-CECA-4A27-9411-6E5D78B68376}"/>
    <hyperlink ref="B5" location="'埼玉県'!a1" display="埼玉県" xr:uid="{873E22EF-02F9-4547-8FC7-C8FB462AF6D5}"/>
    <hyperlink ref="B6" location="'さいたま市'!a1" display="さいたま市" xr:uid="{44B06856-45EF-4102-9D37-A91DDD31309A}"/>
    <hyperlink ref="B7" location="'さいたま市西区'!a1" display="さいたま市西区" xr:uid="{1D4DF2B6-C1F8-4EFE-87EB-2C9989011998}"/>
    <hyperlink ref="B8" location="'さいたま市北区'!a1" display="さいたま市北区" xr:uid="{812FD36B-5FFE-4F64-A6CD-BCF6C520BA25}"/>
    <hyperlink ref="B9" location="'さいたま市大宮区'!a1" display="さいたま市大宮区" xr:uid="{7E0E501E-DB95-4686-841D-799DBBEC5290}"/>
    <hyperlink ref="B10" location="'さいたま市見沼区'!a1" display="さいたま市見沼区" xr:uid="{5069F428-D014-4E78-B5A2-6854390E1A2C}"/>
    <hyperlink ref="B11" location="'さいたま市中央区'!a1" display="さいたま市中央区" xr:uid="{6DA7DF12-9028-4BBD-AC9B-79C9B1BD434C}"/>
    <hyperlink ref="B12" location="'さいたま市桜区'!a1" display="さいたま市桜区" xr:uid="{B8929D3A-0085-4DBF-8DC6-432E19C4E887}"/>
    <hyperlink ref="B13" location="'さいたま市浦和区'!a1" display="さいたま市浦和区" xr:uid="{2191FF56-AB25-4431-A275-64F8DD18C810}"/>
    <hyperlink ref="B14" location="'さいたま市南区'!a1" display="さいたま市南区" xr:uid="{05ABCFFA-7AD7-4064-BE06-61CD774409A3}"/>
    <hyperlink ref="B15" location="'さいたま市緑区'!a1" display="さいたま市緑区" xr:uid="{7EE3B0A0-5A7E-47B5-A4ED-BE69F33661F7}"/>
    <hyperlink ref="B16" location="'さいたま市岩槻区'!a1" display="さいたま市岩槻区" xr:uid="{83358DF7-FD9C-4545-A779-67DC6272BB79}"/>
    <hyperlink ref="B17" location="'川越市'!a1" display="川越市" xr:uid="{CDB523E5-0F82-4738-99CD-1AC49133DF87}"/>
    <hyperlink ref="B18" location="'熊谷市'!a1" display="熊谷市" xr:uid="{5559772C-901C-4089-831E-E94F9B62480A}"/>
    <hyperlink ref="B19" location="'川口市'!a1" display="川口市" xr:uid="{BAC9DFFE-4489-4FFE-8069-299D62AE2175}"/>
    <hyperlink ref="B20" location="'行田市'!a1" display="行田市" xr:uid="{A96DD1F2-864D-415E-B687-104EC778C35F}"/>
    <hyperlink ref="B21" location="'秩父市'!a1" display="秩父市" xr:uid="{2E9BC331-6CB6-46AB-913E-8254C8547417}"/>
    <hyperlink ref="B22" location="'所沢市'!a1" display="所沢市" xr:uid="{EABC2E67-C472-4114-822C-B844F3396FF2}"/>
    <hyperlink ref="B23" location="'飯能市'!a1" display="飯能市" xr:uid="{DAF5DC07-A40D-4A9C-8914-422CA5C66C45}"/>
    <hyperlink ref="B24" location="'加須市'!a1" display="加須市" xr:uid="{02653C99-E72A-4DA2-90CF-96F1E2DEEA89}"/>
    <hyperlink ref="B25" location="'本庄市'!a1" display="本庄市" xr:uid="{D3B04C53-6282-4803-9D8C-83BFADECC8B4}"/>
    <hyperlink ref="B26" location="'東松山市'!a1" display="東松山市" xr:uid="{45932AB5-D973-4728-A4BC-06754CE21447}"/>
    <hyperlink ref="B27" location="'春日部市'!a1" display="春日部市" xr:uid="{827C4219-2059-4134-BDD8-ED4811642777}"/>
    <hyperlink ref="B28" location="'狭山市'!a1" display="狭山市" xr:uid="{E7F38278-2817-4873-8A9C-399E8355C4BC}"/>
    <hyperlink ref="B29" location="'羽生市'!a1" display="羽生市" xr:uid="{DA609238-DF74-44F0-BCE0-003CCF393BFA}"/>
    <hyperlink ref="B30" location="'鴻巣市'!a1" display="鴻巣市" xr:uid="{9D30DAF9-4551-4F7A-B6AF-1980A65015C8}"/>
    <hyperlink ref="B31" location="'深谷市'!a1" display="深谷市" xr:uid="{6D62AC3B-6C89-429F-B1C8-CFDB717469A5}"/>
    <hyperlink ref="B32" location="'上尾市'!a1" display="上尾市" xr:uid="{27F7D9E8-CBE6-45CD-8EB8-CAD9534538EA}"/>
    <hyperlink ref="B33" location="'草加市'!a1" display="草加市" xr:uid="{32A96EBA-D113-4681-961F-5B1294098DA0}"/>
    <hyperlink ref="B34" location="'越谷市'!a1" display="越谷市" xr:uid="{7677CDBE-4E51-4CB5-90C7-521B5C63B8C9}"/>
    <hyperlink ref="B35" location="'蕨市'!a1" display="蕨市" xr:uid="{8EF3BE53-7945-40D2-A706-AE0C02E4EB6E}"/>
    <hyperlink ref="B36" location="'戸田市'!a1" display="戸田市" xr:uid="{8A28977D-1564-4571-8B48-6DC4F803E92A}"/>
    <hyperlink ref="B37" location="'入間市'!a1" display="入間市" xr:uid="{367C8E58-5CDA-4B23-8970-E459AEA0AF6B}"/>
    <hyperlink ref="B38" location="'朝霞市'!a1" display="朝霞市" xr:uid="{7850C8AE-908B-4410-ACB7-2823AB195A18}"/>
    <hyperlink ref="B39" location="'志木市'!a1" display="志木市" xr:uid="{2723A8EB-6D1A-41D7-9B54-94F64501AE2F}"/>
    <hyperlink ref="B40" location="'和光市'!a1" display="和光市" xr:uid="{5B491D6B-7526-4659-9EB5-ACBEA948AEB9}"/>
    <hyperlink ref="B41" location="'新座市'!a1" display="新座市" xr:uid="{E3E50974-6FD6-438A-9DBB-8B6AF325A591}"/>
    <hyperlink ref="B42" location="'桶川市'!a1" display="桶川市" xr:uid="{325C7007-CD10-40D6-BE95-E056109AA46D}"/>
    <hyperlink ref="B43" location="'久喜市'!a1" display="久喜市" xr:uid="{C5E4F238-7898-4AAE-A23D-19891AADCDEF}"/>
    <hyperlink ref="B44" location="'北本市'!a1" display="北本市" xr:uid="{13B26AD5-6863-45F8-9BC8-B9E11F8AB782}"/>
    <hyperlink ref="B45" location="'八潮市'!a1" display="八潮市" xr:uid="{4287D99F-DFCC-4AAA-B526-6522BC6248B5}"/>
    <hyperlink ref="B46" location="'富士見市'!a1" display="富士見市" xr:uid="{30441EA3-55CE-4B7A-86F9-F71C825D8D97}"/>
    <hyperlink ref="B47" location="'三郷市'!a1" display="三郷市" xr:uid="{936BC36B-B1F0-4669-B4F1-AEAFB1A6CEF7}"/>
    <hyperlink ref="B48" location="'蓮田市'!a1" display="蓮田市" xr:uid="{7D781875-51F2-4866-8C93-FAD488947C0A}"/>
    <hyperlink ref="B49" location="'坂戸市'!a1" display="坂戸市" xr:uid="{819A5638-8CC0-4F91-80FB-E32F01C77A7C}"/>
    <hyperlink ref="B50" location="'幸手市'!a1" display="幸手市" xr:uid="{40EC9B55-F4DE-4D06-9B1B-2CC2B72536C9}"/>
    <hyperlink ref="B51" location="'鶴ヶ島市'!a1" display="鶴ヶ島市" xr:uid="{68EAA896-DA50-4827-9182-873BAE5A9CFE}"/>
    <hyperlink ref="B52" location="'日高市'!a1" display="日高市" xr:uid="{3B4846A9-DC83-4D4E-8002-A12413424E31}"/>
    <hyperlink ref="B53" location="'吉川市'!a1" display="吉川市" xr:uid="{39190CC7-E82F-4A26-B17F-DCDEE66E1CFC}"/>
    <hyperlink ref="B54" location="'ふじみ野市'!a1" display="ふじみ野市" xr:uid="{EA727E52-9ED4-4B79-A0BC-7D4815343CD1}"/>
    <hyperlink ref="B55" location="'白岡市'!a1" display="白岡市" xr:uid="{13C1F763-A0B0-4A3A-8223-4E2F884CF482}"/>
    <hyperlink ref="B56" location="'北足立郡伊奈町'!a1" display="北足立郡伊奈町" xr:uid="{BF80C589-3358-4DD6-94B7-135BE92F0670}"/>
    <hyperlink ref="B57" location="'入間郡三芳町'!a1" display="入間郡三芳町" xr:uid="{9FB5C0A4-E67D-4DEC-9FE9-E723560312BF}"/>
    <hyperlink ref="B58" location="'入間郡毛呂山町'!a1" display="入間郡毛呂山町" xr:uid="{A1C93EEB-A50D-4864-BF30-86ADEEA94AD5}"/>
    <hyperlink ref="B59" location="'入間郡越生町'!a1" display="入間郡越生町" xr:uid="{C2EBE0D8-D32E-4FA7-907D-9E712857F12D}"/>
    <hyperlink ref="B60" location="'比企郡滑川町'!a1" display="比企郡滑川町" xr:uid="{4635A128-7A17-48BD-B404-59EB286921D5}"/>
    <hyperlink ref="B61" location="'比企郡嵐山町'!a1" display="比企郡嵐山町" xr:uid="{254146C6-C515-4AC9-9D1F-560A917C2492}"/>
    <hyperlink ref="B62" location="'比企郡小川町'!a1" display="比企郡小川町" xr:uid="{DB1FE9D9-95F4-4573-9825-9D1BE0790C44}"/>
    <hyperlink ref="B63" location="'比企郡川島町'!a1" display="比企郡川島町" xr:uid="{33EAE3FA-EEA0-4F78-9C45-19C866CDAA73}"/>
    <hyperlink ref="B64" location="'比企郡吉見町'!a1" display="比企郡吉見町" xr:uid="{A0604A16-3763-4F58-A736-2BE0D153039A}"/>
    <hyperlink ref="B65" location="'比企郡鳩山町'!a1" display="比企郡鳩山町" xr:uid="{3A04CE9F-48EB-4E3D-B620-51AAB3283CFF}"/>
    <hyperlink ref="B66" location="'比企郡ときがわ町'!a1" display="比企郡ときがわ町" xr:uid="{EEDF2DC0-F084-4FB2-8600-C76BCA2775E8}"/>
    <hyperlink ref="B67" location="'秩父郡横瀬町'!a1" display="秩父郡横瀬町" xr:uid="{4790635D-60FE-4A16-B708-D4C50603FCEB}"/>
    <hyperlink ref="B68" location="'秩父郡皆野町'!a1" display="秩父郡皆野町" xr:uid="{7A504879-79AE-457C-900A-50CD2B51FEE5}"/>
    <hyperlink ref="B69" location="'秩父郡長瀞町'!a1" display="秩父郡長瀞町" xr:uid="{78225AE8-9CF2-44EA-8F16-8E55B6AC3C5C}"/>
    <hyperlink ref="B70" location="'秩父郡小鹿野町'!a1" display="秩父郡小鹿野町" xr:uid="{F8B0D1A0-4A7E-4B27-B9E9-4181EC7C471F}"/>
    <hyperlink ref="B71" location="'秩父郡東秩父村'!a1" display="秩父郡東秩父村" xr:uid="{18612162-04E9-4679-8BBE-4B2DFD085EE5}"/>
    <hyperlink ref="B72" location="'児玉郡美里町'!a1" display="児玉郡美里町" xr:uid="{A808EAD0-CF21-4386-917D-08B14DA59170}"/>
    <hyperlink ref="B73" location="'児玉郡神川町'!a1" display="児玉郡神川町" xr:uid="{C9DEC2F7-3C73-4B2A-B1EC-9AE8D90791E2}"/>
    <hyperlink ref="B74" location="'児玉郡上里町'!a1" display="児玉郡上里町" xr:uid="{C1B0FE87-8B27-4C8C-8376-88CCD7A45F48}"/>
    <hyperlink ref="B75" location="'大里郡寄居町'!a1" display="大里郡寄居町" xr:uid="{C30B88F5-AF7A-4B08-8776-A0452ED056D0}"/>
    <hyperlink ref="B76" location="'南埼玉郡宮代町'!a1" display="南埼玉郡宮代町" xr:uid="{90D0DB27-6750-49C1-9D00-314902866575}"/>
    <hyperlink ref="B77" location="'北葛飾郡杉戸町'!a1" display="北葛飾郡杉戸町" xr:uid="{B47F431F-596A-41D8-A88B-27B45D042B1D}"/>
    <hyperlink ref="B78" location="'北葛飾郡松伏町'!a1" display="北葛飾郡松伏町" xr:uid="{047AA8C1-4A73-4355-91E7-BF7EFF802B2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08652-1410-4E31-B99C-461D0154E756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277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409</v>
      </c>
      <c r="D6" s="8">
        <v>18.079999999999998</v>
      </c>
      <c r="E6" s="12">
        <v>56</v>
      </c>
      <c r="F6" s="8">
        <v>6.36</v>
      </c>
      <c r="G6" s="12">
        <v>353</v>
      </c>
      <c r="H6" s="8">
        <v>25.65</v>
      </c>
      <c r="I6" s="12">
        <v>0</v>
      </c>
    </row>
    <row r="7" spans="2:9" ht="15" customHeight="1" x14ac:dyDescent="0.2">
      <c r="B7" t="s">
        <v>76</v>
      </c>
      <c r="C7" s="12">
        <v>159</v>
      </c>
      <c r="D7" s="8">
        <v>7.03</v>
      </c>
      <c r="E7" s="12">
        <v>36</v>
      </c>
      <c r="F7" s="8">
        <v>4.09</v>
      </c>
      <c r="G7" s="12">
        <v>123</v>
      </c>
      <c r="H7" s="8">
        <v>8.94</v>
      </c>
      <c r="I7" s="12">
        <v>0</v>
      </c>
    </row>
    <row r="8" spans="2:9" ht="15" customHeight="1" x14ac:dyDescent="0.2">
      <c r="B8" t="s">
        <v>77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7.0000000000000007E-2</v>
      </c>
      <c r="I8" s="12">
        <v>0</v>
      </c>
    </row>
    <row r="9" spans="2:9" ht="15" customHeight="1" x14ac:dyDescent="0.2">
      <c r="B9" t="s">
        <v>78</v>
      </c>
      <c r="C9" s="12">
        <v>35</v>
      </c>
      <c r="D9" s="8">
        <v>1.55</v>
      </c>
      <c r="E9" s="12">
        <v>1</v>
      </c>
      <c r="F9" s="8">
        <v>0.11</v>
      </c>
      <c r="G9" s="12">
        <v>34</v>
      </c>
      <c r="H9" s="8">
        <v>2.4700000000000002</v>
      </c>
      <c r="I9" s="12">
        <v>0</v>
      </c>
    </row>
    <row r="10" spans="2:9" ht="15" customHeight="1" x14ac:dyDescent="0.2">
      <c r="B10" t="s">
        <v>79</v>
      </c>
      <c r="C10" s="12">
        <v>18</v>
      </c>
      <c r="D10" s="8">
        <v>0.8</v>
      </c>
      <c r="E10" s="12">
        <v>3</v>
      </c>
      <c r="F10" s="8">
        <v>0.34</v>
      </c>
      <c r="G10" s="12">
        <v>15</v>
      </c>
      <c r="H10" s="8">
        <v>1.0900000000000001</v>
      </c>
      <c r="I10" s="12">
        <v>0</v>
      </c>
    </row>
    <row r="11" spans="2:9" ht="15" customHeight="1" x14ac:dyDescent="0.2">
      <c r="B11" t="s">
        <v>80</v>
      </c>
      <c r="C11" s="12">
        <v>433</v>
      </c>
      <c r="D11" s="8">
        <v>19.14</v>
      </c>
      <c r="E11" s="12">
        <v>161</v>
      </c>
      <c r="F11" s="8">
        <v>18.27</v>
      </c>
      <c r="G11" s="12">
        <v>272</v>
      </c>
      <c r="H11" s="8">
        <v>19.77</v>
      </c>
      <c r="I11" s="12">
        <v>0</v>
      </c>
    </row>
    <row r="12" spans="2:9" ht="15" customHeight="1" x14ac:dyDescent="0.2">
      <c r="B12" t="s">
        <v>81</v>
      </c>
      <c r="C12" s="12">
        <v>22</v>
      </c>
      <c r="D12" s="8">
        <v>0.97</v>
      </c>
      <c r="E12" s="12">
        <v>2</v>
      </c>
      <c r="F12" s="8">
        <v>0.23</v>
      </c>
      <c r="G12" s="12">
        <v>20</v>
      </c>
      <c r="H12" s="8">
        <v>1.45</v>
      </c>
      <c r="I12" s="12">
        <v>0</v>
      </c>
    </row>
    <row r="13" spans="2:9" ht="15" customHeight="1" x14ac:dyDescent="0.2">
      <c r="B13" t="s">
        <v>82</v>
      </c>
      <c r="C13" s="12">
        <v>261</v>
      </c>
      <c r="D13" s="8">
        <v>11.54</v>
      </c>
      <c r="E13" s="12">
        <v>45</v>
      </c>
      <c r="F13" s="8">
        <v>5.1100000000000003</v>
      </c>
      <c r="G13" s="12">
        <v>216</v>
      </c>
      <c r="H13" s="8">
        <v>15.7</v>
      </c>
      <c r="I13" s="12">
        <v>0</v>
      </c>
    </row>
    <row r="14" spans="2:9" ht="15" customHeight="1" x14ac:dyDescent="0.2">
      <c r="B14" t="s">
        <v>83</v>
      </c>
      <c r="C14" s="12">
        <v>165</v>
      </c>
      <c r="D14" s="8">
        <v>7.29</v>
      </c>
      <c r="E14" s="12">
        <v>64</v>
      </c>
      <c r="F14" s="8">
        <v>7.26</v>
      </c>
      <c r="G14" s="12">
        <v>101</v>
      </c>
      <c r="H14" s="8">
        <v>7.34</v>
      </c>
      <c r="I14" s="12">
        <v>0</v>
      </c>
    </row>
    <row r="15" spans="2:9" ht="15" customHeight="1" x14ac:dyDescent="0.2">
      <c r="B15" t="s">
        <v>84</v>
      </c>
      <c r="C15" s="12">
        <v>178</v>
      </c>
      <c r="D15" s="8">
        <v>7.87</v>
      </c>
      <c r="E15" s="12">
        <v>141</v>
      </c>
      <c r="F15" s="8">
        <v>16</v>
      </c>
      <c r="G15" s="12">
        <v>37</v>
      </c>
      <c r="H15" s="8">
        <v>2.69</v>
      </c>
      <c r="I15" s="12">
        <v>0</v>
      </c>
    </row>
    <row r="16" spans="2:9" ht="15" customHeight="1" x14ac:dyDescent="0.2">
      <c r="B16" t="s">
        <v>85</v>
      </c>
      <c r="C16" s="12">
        <v>261</v>
      </c>
      <c r="D16" s="8">
        <v>11.54</v>
      </c>
      <c r="E16" s="12">
        <v>195</v>
      </c>
      <c r="F16" s="8">
        <v>22.13</v>
      </c>
      <c r="G16" s="12">
        <v>66</v>
      </c>
      <c r="H16" s="8">
        <v>4.8</v>
      </c>
      <c r="I16" s="12">
        <v>0</v>
      </c>
    </row>
    <row r="17" spans="2:9" ht="15" customHeight="1" x14ac:dyDescent="0.2">
      <c r="B17" t="s">
        <v>86</v>
      </c>
      <c r="C17" s="12">
        <v>119</v>
      </c>
      <c r="D17" s="8">
        <v>5.26</v>
      </c>
      <c r="E17" s="12">
        <v>81</v>
      </c>
      <c r="F17" s="8">
        <v>9.19</v>
      </c>
      <c r="G17" s="12">
        <v>34</v>
      </c>
      <c r="H17" s="8">
        <v>2.4700000000000002</v>
      </c>
      <c r="I17" s="12">
        <v>0</v>
      </c>
    </row>
    <row r="18" spans="2:9" ht="15" customHeight="1" x14ac:dyDescent="0.2">
      <c r="B18" t="s">
        <v>87</v>
      </c>
      <c r="C18" s="12">
        <v>130</v>
      </c>
      <c r="D18" s="8">
        <v>5.75</v>
      </c>
      <c r="E18" s="12">
        <v>79</v>
      </c>
      <c r="F18" s="8">
        <v>8.9700000000000006</v>
      </c>
      <c r="G18" s="12">
        <v>50</v>
      </c>
      <c r="H18" s="8">
        <v>3.63</v>
      </c>
      <c r="I18" s="12">
        <v>1</v>
      </c>
    </row>
    <row r="19" spans="2:9" ht="15" customHeight="1" x14ac:dyDescent="0.2">
      <c r="B19" t="s">
        <v>88</v>
      </c>
      <c r="C19" s="12">
        <v>71</v>
      </c>
      <c r="D19" s="8">
        <v>3.14</v>
      </c>
      <c r="E19" s="12">
        <v>17</v>
      </c>
      <c r="F19" s="8">
        <v>1.93</v>
      </c>
      <c r="G19" s="12">
        <v>54</v>
      </c>
      <c r="H19" s="8">
        <v>3.92</v>
      </c>
      <c r="I19" s="12">
        <v>0</v>
      </c>
    </row>
    <row r="20" spans="2:9" ht="15" customHeight="1" x14ac:dyDescent="0.2">
      <c r="B20" s="9" t="s">
        <v>269</v>
      </c>
      <c r="C20" s="12">
        <f>SUM(LTBL_11104[総数／事業所数])</f>
        <v>2262</v>
      </c>
      <c r="E20" s="12">
        <f>SUBTOTAL(109,LTBL_11104[個人／事業所数])</f>
        <v>881</v>
      </c>
      <c r="G20" s="12">
        <f>SUBTOTAL(109,LTBL_11104[法人／事業所数])</f>
        <v>1376</v>
      </c>
      <c r="I20" s="12">
        <f>SUBTOTAL(109,LTBL_11104[法人以外の団体／事業所数])</f>
        <v>1</v>
      </c>
    </row>
    <row r="21" spans="2:9" ht="15" customHeight="1" x14ac:dyDescent="0.2">
      <c r="E21" s="11">
        <f>LTBL_11104[[#Totals],[個人／事業所数]]/LTBL_11104[[#Totals],[総数／事業所数]]</f>
        <v>0.38947833775419982</v>
      </c>
      <c r="G21" s="11">
        <f>LTBL_11104[[#Totals],[法人／事業所数]]/LTBL_11104[[#Totals],[総数／事業所数]]</f>
        <v>0.60831122900088419</v>
      </c>
      <c r="I21" s="11">
        <f>LTBL_11104[[#Totals],[法人以外の団体／事業所数]]/LTBL_11104[[#Totals],[総数／事業所数]]</f>
        <v>4.4208664898320068E-4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220</v>
      </c>
      <c r="D24" s="8">
        <v>9.73</v>
      </c>
      <c r="E24" s="12">
        <v>178</v>
      </c>
      <c r="F24" s="8">
        <v>20.2</v>
      </c>
      <c r="G24" s="12">
        <v>42</v>
      </c>
      <c r="H24" s="8">
        <v>3.05</v>
      </c>
      <c r="I24" s="12">
        <v>0</v>
      </c>
    </row>
    <row r="25" spans="2:9" ht="15" customHeight="1" x14ac:dyDescent="0.2">
      <c r="B25" t="s">
        <v>108</v>
      </c>
      <c r="C25" s="12">
        <v>186</v>
      </c>
      <c r="D25" s="8">
        <v>8.2200000000000006</v>
      </c>
      <c r="E25" s="12">
        <v>42</v>
      </c>
      <c r="F25" s="8">
        <v>4.7699999999999996</v>
      </c>
      <c r="G25" s="12">
        <v>144</v>
      </c>
      <c r="H25" s="8">
        <v>10.47</v>
      </c>
      <c r="I25" s="12">
        <v>0</v>
      </c>
    </row>
    <row r="26" spans="2:9" ht="15" customHeight="1" x14ac:dyDescent="0.2">
      <c r="B26" t="s">
        <v>111</v>
      </c>
      <c r="C26" s="12">
        <v>158</v>
      </c>
      <c r="D26" s="8">
        <v>6.98</v>
      </c>
      <c r="E26" s="12">
        <v>135</v>
      </c>
      <c r="F26" s="8">
        <v>15.32</v>
      </c>
      <c r="G26" s="12">
        <v>23</v>
      </c>
      <c r="H26" s="8">
        <v>1.67</v>
      </c>
      <c r="I26" s="12">
        <v>0</v>
      </c>
    </row>
    <row r="27" spans="2:9" ht="15" customHeight="1" x14ac:dyDescent="0.2">
      <c r="B27" t="s">
        <v>97</v>
      </c>
      <c r="C27" s="12">
        <v>145</v>
      </c>
      <c r="D27" s="8">
        <v>6.41</v>
      </c>
      <c r="E27" s="12">
        <v>18</v>
      </c>
      <c r="F27" s="8">
        <v>2.04</v>
      </c>
      <c r="G27" s="12">
        <v>127</v>
      </c>
      <c r="H27" s="8">
        <v>9.23</v>
      </c>
      <c r="I27" s="12">
        <v>0</v>
      </c>
    </row>
    <row r="28" spans="2:9" ht="15" customHeight="1" x14ac:dyDescent="0.2">
      <c r="B28" t="s">
        <v>98</v>
      </c>
      <c r="C28" s="12">
        <v>132</v>
      </c>
      <c r="D28" s="8">
        <v>5.84</v>
      </c>
      <c r="E28" s="12">
        <v>24</v>
      </c>
      <c r="F28" s="8">
        <v>2.72</v>
      </c>
      <c r="G28" s="12">
        <v>108</v>
      </c>
      <c r="H28" s="8">
        <v>7.85</v>
      </c>
      <c r="I28" s="12">
        <v>0</v>
      </c>
    </row>
    <row r="29" spans="2:9" ht="15" customHeight="1" x14ac:dyDescent="0.2">
      <c r="B29" t="s">
        <v>99</v>
      </c>
      <c r="C29" s="12">
        <v>132</v>
      </c>
      <c r="D29" s="8">
        <v>5.84</v>
      </c>
      <c r="E29" s="12">
        <v>14</v>
      </c>
      <c r="F29" s="8">
        <v>1.59</v>
      </c>
      <c r="G29" s="12">
        <v>118</v>
      </c>
      <c r="H29" s="8">
        <v>8.58</v>
      </c>
      <c r="I29" s="12">
        <v>0</v>
      </c>
    </row>
    <row r="30" spans="2:9" ht="15" customHeight="1" x14ac:dyDescent="0.2">
      <c r="B30" t="s">
        <v>114</v>
      </c>
      <c r="C30" s="12">
        <v>119</v>
      </c>
      <c r="D30" s="8">
        <v>5.26</v>
      </c>
      <c r="E30" s="12">
        <v>81</v>
      </c>
      <c r="F30" s="8">
        <v>9.19</v>
      </c>
      <c r="G30" s="12">
        <v>34</v>
      </c>
      <c r="H30" s="8">
        <v>2.4700000000000002</v>
      </c>
      <c r="I30" s="12">
        <v>0</v>
      </c>
    </row>
    <row r="31" spans="2:9" ht="15" customHeight="1" x14ac:dyDescent="0.2">
      <c r="B31" t="s">
        <v>106</v>
      </c>
      <c r="C31" s="12">
        <v>115</v>
      </c>
      <c r="D31" s="8">
        <v>5.08</v>
      </c>
      <c r="E31" s="12">
        <v>50</v>
      </c>
      <c r="F31" s="8">
        <v>5.68</v>
      </c>
      <c r="G31" s="12">
        <v>65</v>
      </c>
      <c r="H31" s="8">
        <v>4.72</v>
      </c>
      <c r="I31" s="12">
        <v>0</v>
      </c>
    </row>
    <row r="32" spans="2:9" ht="15" customHeight="1" x14ac:dyDescent="0.2">
      <c r="B32" t="s">
        <v>115</v>
      </c>
      <c r="C32" s="12">
        <v>92</v>
      </c>
      <c r="D32" s="8">
        <v>4.07</v>
      </c>
      <c r="E32" s="12">
        <v>78</v>
      </c>
      <c r="F32" s="8">
        <v>8.85</v>
      </c>
      <c r="G32" s="12">
        <v>14</v>
      </c>
      <c r="H32" s="8">
        <v>1.02</v>
      </c>
      <c r="I32" s="12">
        <v>0</v>
      </c>
    </row>
    <row r="33" spans="2:9" ht="15" customHeight="1" x14ac:dyDescent="0.2">
      <c r="B33" t="s">
        <v>109</v>
      </c>
      <c r="C33" s="12">
        <v>85</v>
      </c>
      <c r="D33" s="8">
        <v>3.76</v>
      </c>
      <c r="E33" s="12">
        <v>45</v>
      </c>
      <c r="F33" s="8">
        <v>5.1100000000000003</v>
      </c>
      <c r="G33" s="12">
        <v>40</v>
      </c>
      <c r="H33" s="8">
        <v>2.91</v>
      </c>
      <c r="I33" s="12">
        <v>0</v>
      </c>
    </row>
    <row r="34" spans="2:9" ht="15" customHeight="1" x14ac:dyDescent="0.2">
      <c r="B34" t="s">
        <v>110</v>
      </c>
      <c r="C34" s="12">
        <v>78</v>
      </c>
      <c r="D34" s="8">
        <v>3.45</v>
      </c>
      <c r="E34" s="12">
        <v>19</v>
      </c>
      <c r="F34" s="8">
        <v>2.16</v>
      </c>
      <c r="G34" s="12">
        <v>59</v>
      </c>
      <c r="H34" s="8">
        <v>4.29</v>
      </c>
      <c r="I34" s="12">
        <v>0</v>
      </c>
    </row>
    <row r="35" spans="2:9" ht="15" customHeight="1" x14ac:dyDescent="0.2">
      <c r="B35" t="s">
        <v>104</v>
      </c>
      <c r="C35" s="12">
        <v>67</v>
      </c>
      <c r="D35" s="8">
        <v>2.96</v>
      </c>
      <c r="E35" s="12">
        <v>55</v>
      </c>
      <c r="F35" s="8">
        <v>6.24</v>
      </c>
      <c r="G35" s="12">
        <v>12</v>
      </c>
      <c r="H35" s="8">
        <v>0.87</v>
      </c>
      <c r="I35" s="12">
        <v>0</v>
      </c>
    </row>
    <row r="36" spans="2:9" ht="15" customHeight="1" x14ac:dyDescent="0.2">
      <c r="B36" t="s">
        <v>107</v>
      </c>
      <c r="C36" s="12">
        <v>58</v>
      </c>
      <c r="D36" s="8">
        <v>2.56</v>
      </c>
      <c r="E36" s="12">
        <v>3</v>
      </c>
      <c r="F36" s="8">
        <v>0.34</v>
      </c>
      <c r="G36" s="12">
        <v>55</v>
      </c>
      <c r="H36" s="8">
        <v>4</v>
      </c>
      <c r="I36" s="12">
        <v>0</v>
      </c>
    </row>
    <row r="37" spans="2:9" ht="15" customHeight="1" x14ac:dyDescent="0.2">
      <c r="B37" t="s">
        <v>105</v>
      </c>
      <c r="C37" s="12">
        <v>49</v>
      </c>
      <c r="D37" s="8">
        <v>2.17</v>
      </c>
      <c r="E37" s="12">
        <v>21</v>
      </c>
      <c r="F37" s="8">
        <v>2.38</v>
      </c>
      <c r="G37" s="12">
        <v>28</v>
      </c>
      <c r="H37" s="8">
        <v>2.0299999999999998</v>
      </c>
      <c r="I37" s="12">
        <v>0</v>
      </c>
    </row>
    <row r="38" spans="2:9" ht="15" customHeight="1" x14ac:dyDescent="0.2">
      <c r="B38" t="s">
        <v>102</v>
      </c>
      <c r="C38" s="12">
        <v>42</v>
      </c>
      <c r="D38" s="8">
        <v>1.86</v>
      </c>
      <c r="E38" s="12">
        <v>4</v>
      </c>
      <c r="F38" s="8">
        <v>0.45</v>
      </c>
      <c r="G38" s="12">
        <v>38</v>
      </c>
      <c r="H38" s="8">
        <v>2.76</v>
      </c>
      <c r="I38" s="12">
        <v>0</v>
      </c>
    </row>
    <row r="39" spans="2:9" ht="15" customHeight="1" x14ac:dyDescent="0.2">
      <c r="B39" t="s">
        <v>117</v>
      </c>
      <c r="C39" s="12">
        <v>41</v>
      </c>
      <c r="D39" s="8">
        <v>1.81</v>
      </c>
      <c r="E39" s="12">
        <v>8</v>
      </c>
      <c r="F39" s="8">
        <v>0.91</v>
      </c>
      <c r="G39" s="12">
        <v>33</v>
      </c>
      <c r="H39" s="8">
        <v>2.4</v>
      </c>
      <c r="I39" s="12">
        <v>0</v>
      </c>
    </row>
    <row r="40" spans="2:9" ht="15" customHeight="1" x14ac:dyDescent="0.2">
      <c r="B40" t="s">
        <v>118</v>
      </c>
      <c r="C40" s="12">
        <v>38</v>
      </c>
      <c r="D40" s="8">
        <v>1.68</v>
      </c>
      <c r="E40" s="12">
        <v>1</v>
      </c>
      <c r="F40" s="8">
        <v>0.11</v>
      </c>
      <c r="G40" s="12">
        <v>36</v>
      </c>
      <c r="H40" s="8">
        <v>2.62</v>
      </c>
      <c r="I40" s="12">
        <v>1</v>
      </c>
    </row>
    <row r="41" spans="2:9" ht="15" customHeight="1" x14ac:dyDescent="0.2">
      <c r="B41" t="s">
        <v>122</v>
      </c>
      <c r="C41" s="12">
        <v>34</v>
      </c>
      <c r="D41" s="8">
        <v>1.5</v>
      </c>
      <c r="E41" s="12">
        <v>4</v>
      </c>
      <c r="F41" s="8">
        <v>0.45</v>
      </c>
      <c r="G41" s="12">
        <v>30</v>
      </c>
      <c r="H41" s="8">
        <v>2.1800000000000002</v>
      </c>
      <c r="I41" s="12">
        <v>0</v>
      </c>
    </row>
    <row r="42" spans="2:9" ht="15" customHeight="1" x14ac:dyDescent="0.2">
      <c r="B42" t="s">
        <v>113</v>
      </c>
      <c r="C42" s="12">
        <v>33</v>
      </c>
      <c r="D42" s="8">
        <v>1.46</v>
      </c>
      <c r="E42" s="12">
        <v>13</v>
      </c>
      <c r="F42" s="8">
        <v>1.48</v>
      </c>
      <c r="G42" s="12">
        <v>20</v>
      </c>
      <c r="H42" s="8">
        <v>1.45</v>
      </c>
      <c r="I42" s="12">
        <v>0</v>
      </c>
    </row>
    <row r="43" spans="2:9" ht="15" customHeight="1" x14ac:dyDescent="0.2">
      <c r="B43" t="s">
        <v>101</v>
      </c>
      <c r="C43" s="12">
        <v>28</v>
      </c>
      <c r="D43" s="8">
        <v>1.24</v>
      </c>
      <c r="E43" s="12">
        <v>0</v>
      </c>
      <c r="F43" s="8">
        <v>0</v>
      </c>
      <c r="G43" s="12">
        <v>28</v>
      </c>
      <c r="H43" s="8">
        <v>2.0299999999999998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167</v>
      </c>
      <c r="C47" s="12">
        <v>95</v>
      </c>
      <c r="D47" s="8">
        <v>4.2</v>
      </c>
      <c r="E47" s="12">
        <v>33</v>
      </c>
      <c r="F47" s="8">
        <v>3.75</v>
      </c>
      <c r="G47" s="12">
        <v>62</v>
      </c>
      <c r="H47" s="8">
        <v>4.51</v>
      </c>
      <c r="I47" s="12">
        <v>0</v>
      </c>
    </row>
    <row r="48" spans="2:9" ht="15" customHeight="1" x14ac:dyDescent="0.2">
      <c r="B48" t="s">
        <v>173</v>
      </c>
      <c r="C48" s="12">
        <v>91</v>
      </c>
      <c r="D48" s="8">
        <v>4.0199999999999996</v>
      </c>
      <c r="E48" s="12">
        <v>77</v>
      </c>
      <c r="F48" s="8">
        <v>8.74</v>
      </c>
      <c r="G48" s="12">
        <v>14</v>
      </c>
      <c r="H48" s="8">
        <v>1.02</v>
      </c>
      <c r="I48" s="12">
        <v>0</v>
      </c>
    </row>
    <row r="49" spans="2:9" ht="15" customHeight="1" x14ac:dyDescent="0.2">
      <c r="B49" t="s">
        <v>172</v>
      </c>
      <c r="C49" s="12">
        <v>71</v>
      </c>
      <c r="D49" s="8">
        <v>3.14</v>
      </c>
      <c r="E49" s="12">
        <v>63</v>
      </c>
      <c r="F49" s="8">
        <v>7.15</v>
      </c>
      <c r="G49" s="12">
        <v>8</v>
      </c>
      <c r="H49" s="8">
        <v>0.57999999999999996</v>
      </c>
      <c r="I49" s="12">
        <v>0</v>
      </c>
    </row>
    <row r="50" spans="2:9" ht="15" customHeight="1" x14ac:dyDescent="0.2">
      <c r="B50" t="s">
        <v>174</v>
      </c>
      <c r="C50" s="12">
        <v>68</v>
      </c>
      <c r="D50" s="8">
        <v>3.01</v>
      </c>
      <c r="E50" s="12">
        <v>57</v>
      </c>
      <c r="F50" s="8">
        <v>6.47</v>
      </c>
      <c r="G50" s="12">
        <v>11</v>
      </c>
      <c r="H50" s="8">
        <v>0.8</v>
      </c>
      <c r="I50" s="12">
        <v>0</v>
      </c>
    </row>
    <row r="51" spans="2:9" ht="15" customHeight="1" x14ac:dyDescent="0.2">
      <c r="B51" t="s">
        <v>161</v>
      </c>
      <c r="C51" s="12">
        <v>65</v>
      </c>
      <c r="D51" s="8">
        <v>2.87</v>
      </c>
      <c r="E51" s="12">
        <v>9</v>
      </c>
      <c r="F51" s="8">
        <v>1.02</v>
      </c>
      <c r="G51" s="12">
        <v>56</v>
      </c>
      <c r="H51" s="8">
        <v>4.07</v>
      </c>
      <c r="I51" s="12">
        <v>0</v>
      </c>
    </row>
    <row r="52" spans="2:9" ht="15" customHeight="1" x14ac:dyDescent="0.2">
      <c r="B52" t="s">
        <v>175</v>
      </c>
      <c r="C52" s="12">
        <v>61</v>
      </c>
      <c r="D52" s="8">
        <v>2.7</v>
      </c>
      <c r="E52" s="12">
        <v>51</v>
      </c>
      <c r="F52" s="8">
        <v>5.79</v>
      </c>
      <c r="G52" s="12">
        <v>10</v>
      </c>
      <c r="H52" s="8">
        <v>0.73</v>
      </c>
      <c r="I52" s="12">
        <v>0</v>
      </c>
    </row>
    <row r="53" spans="2:9" ht="15" customHeight="1" x14ac:dyDescent="0.2">
      <c r="B53" t="s">
        <v>160</v>
      </c>
      <c r="C53" s="12">
        <v>56</v>
      </c>
      <c r="D53" s="8">
        <v>2.48</v>
      </c>
      <c r="E53" s="12">
        <v>5</v>
      </c>
      <c r="F53" s="8">
        <v>0.56999999999999995</v>
      </c>
      <c r="G53" s="12">
        <v>51</v>
      </c>
      <c r="H53" s="8">
        <v>3.71</v>
      </c>
      <c r="I53" s="12">
        <v>0</v>
      </c>
    </row>
    <row r="54" spans="2:9" ht="15" customHeight="1" x14ac:dyDescent="0.2">
      <c r="B54" t="s">
        <v>178</v>
      </c>
      <c r="C54" s="12">
        <v>55</v>
      </c>
      <c r="D54" s="8">
        <v>2.4300000000000002</v>
      </c>
      <c r="E54" s="12">
        <v>13</v>
      </c>
      <c r="F54" s="8">
        <v>1.48</v>
      </c>
      <c r="G54" s="12">
        <v>42</v>
      </c>
      <c r="H54" s="8">
        <v>3.05</v>
      </c>
      <c r="I54" s="12">
        <v>0</v>
      </c>
    </row>
    <row r="55" spans="2:9" ht="15" customHeight="1" x14ac:dyDescent="0.2">
      <c r="B55" t="s">
        <v>168</v>
      </c>
      <c r="C55" s="12">
        <v>46</v>
      </c>
      <c r="D55" s="8">
        <v>2.0299999999999998</v>
      </c>
      <c r="E55" s="12">
        <v>2</v>
      </c>
      <c r="F55" s="8">
        <v>0.23</v>
      </c>
      <c r="G55" s="12">
        <v>44</v>
      </c>
      <c r="H55" s="8">
        <v>3.2</v>
      </c>
      <c r="I55" s="12">
        <v>0</v>
      </c>
    </row>
    <row r="56" spans="2:9" ht="15" customHeight="1" x14ac:dyDescent="0.2">
      <c r="B56" t="s">
        <v>170</v>
      </c>
      <c r="C56" s="12">
        <v>46</v>
      </c>
      <c r="D56" s="8">
        <v>2.0299999999999998</v>
      </c>
      <c r="E56" s="12">
        <v>42</v>
      </c>
      <c r="F56" s="8">
        <v>4.7699999999999996</v>
      </c>
      <c r="G56" s="12">
        <v>4</v>
      </c>
      <c r="H56" s="8">
        <v>0.28999999999999998</v>
      </c>
      <c r="I56" s="12">
        <v>0</v>
      </c>
    </row>
    <row r="57" spans="2:9" ht="15" customHeight="1" x14ac:dyDescent="0.2">
      <c r="B57" t="s">
        <v>179</v>
      </c>
      <c r="C57" s="12">
        <v>45</v>
      </c>
      <c r="D57" s="8">
        <v>1.99</v>
      </c>
      <c r="E57" s="12">
        <v>24</v>
      </c>
      <c r="F57" s="8">
        <v>2.72</v>
      </c>
      <c r="G57" s="12">
        <v>21</v>
      </c>
      <c r="H57" s="8">
        <v>1.53</v>
      </c>
      <c r="I57" s="12">
        <v>0</v>
      </c>
    </row>
    <row r="58" spans="2:9" ht="15" customHeight="1" x14ac:dyDescent="0.2">
      <c r="B58" t="s">
        <v>157</v>
      </c>
      <c r="C58" s="12">
        <v>42</v>
      </c>
      <c r="D58" s="8">
        <v>1.86</v>
      </c>
      <c r="E58" s="12">
        <v>1</v>
      </c>
      <c r="F58" s="8">
        <v>0.11</v>
      </c>
      <c r="G58" s="12">
        <v>41</v>
      </c>
      <c r="H58" s="8">
        <v>2.98</v>
      </c>
      <c r="I58" s="12">
        <v>0</v>
      </c>
    </row>
    <row r="59" spans="2:9" ht="15" customHeight="1" x14ac:dyDescent="0.2">
      <c r="B59" t="s">
        <v>171</v>
      </c>
      <c r="C59" s="12">
        <v>38</v>
      </c>
      <c r="D59" s="8">
        <v>1.68</v>
      </c>
      <c r="E59" s="12">
        <v>26</v>
      </c>
      <c r="F59" s="8">
        <v>2.95</v>
      </c>
      <c r="G59" s="12">
        <v>12</v>
      </c>
      <c r="H59" s="8">
        <v>0.87</v>
      </c>
      <c r="I59" s="12">
        <v>0</v>
      </c>
    </row>
    <row r="60" spans="2:9" ht="15" customHeight="1" x14ac:dyDescent="0.2">
      <c r="B60" t="s">
        <v>159</v>
      </c>
      <c r="C60" s="12">
        <v>37</v>
      </c>
      <c r="D60" s="8">
        <v>1.64</v>
      </c>
      <c r="E60" s="12">
        <v>11</v>
      </c>
      <c r="F60" s="8">
        <v>1.25</v>
      </c>
      <c r="G60" s="12">
        <v>26</v>
      </c>
      <c r="H60" s="8">
        <v>1.89</v>
      </c>
      <c r="I60" s="12">
        <v>0</v>
      </c>
    </row>
    <row r="61" spans="2:9" ht="15" customHeight="1" x14ac:dyDescent="0.2">
      <c r="B61" t="s">
        <v>164</v>
      </c>
      <c r="C61" s="12">
        <v>37</v>
      </c>
      <c r="D61" s="8">
        <v>1.64</v>
      </c>
      <c r="E61" s="12">
        <v>21</v>
      </c>
      <c r="F61" s="8">
        <v>2.38</v>
      </c>
      <c r="G61" s="12">
        <v>16</v>
      </c>
      <c r="H61" s="8">
        <v>1.1599999999999999</v>
      </c>
      <c r="I61" s="12">
        <v>0</v>
      </c>
    </row>
    <row r="62" spans="2:9" ht="15" customHeight="1" x14ac:dyDescent="0.2">
      <c r="B62" t="s">
        <v>177</v>
      </c>
      <c r="C62" s="12">
        <v>36</v>
      </c>
      <c r="D62" s="8">
        <v>1.59</v>
      </c>
      <c r="E62" s="12">
        <v>3</v>
      </c>
      <c r="F62" s="8">
        <v>0.34</v>
      </c>
      <c r="G62" s="12">
        <v>33</v>
      </c>
      <c r="H62" s="8">
        <v>2.4</v>
      </c>
      <c r="I62" s="12">
        <v>0</v>
      </c>
    </row>
    <row r="63" spans="2:9" ht="15" customHeight="1" x14ac:dyDescent="0.2">
      <c r="B63" t="s">
        <v>166</v>
      </c>
      <c r="C63" s="12">
        <v>36</v>
      </c>
      <c r="D63" s="8">
        <v>1.59</v>
      </c>
      <c r="E63" s="12">
        <v>2</v>
      </c>
      <c r="F63" s="8">
        <v>0.23</v>
      </c>
      <c r="G63" s="12">
        <v>34</v>
      </c>
      <c r="H63" s="8">
        <v>2.4700000000000002</v>
      </c>
      <c r="I63" s="12">
        <v>0</v>
      </c>
    </row>
    <row r="64" spans="2:9" ht="15" customHeight="1" x14ac:dyDescent="0.2">
      <c r="B64" t="s">
        <v>193</v>
      </c>
      <c r="C64" s="12">
        <v>33</v>
      </c>
      <c r="D64" s="8">
        <v>1.46</v>
      </c>
      <c r="E64" s="12">
        <v>7</v>
      </c>
      <c r="F64" s="8">
        <v>0.79</v>
      </c>
      <c r="G64" s="12">
        <v>26</v>
      </c>
      <c r="H64" s="8">
        <v>1.89</v>
      </c>
      <c r="I64" s="12">
        <v>0</v>
      </c>
    </row>
    <row r="65" spans="2:9" ht="15" customHeight="1" x14ac:dyDescent="0.2">
      <c r="B65" t="s">
        <v>169</v>
      </c>
      <c r="C65" s="12">
        <v>33</v>
      </c>
      <c r="D65" s="8">
        <v>1.46</v>
      </c>
      <c r="E65" s="12">
        <v>27</v>
      </c>
      <c r="F65" s="8">
        <v>3.06</v>
      </c>
      <c r="G65" s="12">
        <v>6</v>
      </c>
      <c r="H65" s="8">
        <v>0.44</v>
      </c>
      <c r="I65" s="12">
        <v>0</v>
      </c>
    </row>
    <row r="66" spans="2:9" ht="15" customHeight="1" x14ac:dyDescent="0.2">
      <c r="B66" t="s">
        <v>181</v>
      </c>
      <c r="C66" s="12">
        <v>32</v>
      </c>
      <c r="D66" s="8">
        <v>1.41</v>
      </c>
      <c r="E66" s="12">
        <v>5</v>
      </c>
      <c r="F66" s="8">
        <v>0.56999999999999995</v>
      </c>
      <c r="G66" s="12">
        <v>27</v>
      </c>
      <c r="H66" s="8">
        <v>1.96</v>
      </c>
      <c r="I66" s="12">
        <v>0</v>
      </c>
    </row>
    <row r="67" spans="2:9" ht="15" customHeight="1" x14ac:dyDescent="0.2">
      <c r="B67" t="s">
        <v>192</v>
      </c>
      <c r="C67" s="12">
        <v>32</v>
      </c>
      <c r="D67" s="8">
        <v>1.41</v>
      </c>
      <c r="E67" s="12">
        <v>28</v>
      </c>
      <c r="F67" s="8">
        <v>3.18</v>
      </c>
      <c r="G67" s="12">
        <v>4</v>
      </c>
      <c r="H67" s="8">
        <v>0.28999999999999998</v>
      </c>
      <c r="I67" s="12">
        <v>0</v>
      </c>
    </row>
    <row r="69" spans="2:9" ht="15" customHeight="1" x14ac:dyDescent="0.2">
      <c r="B69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97277-DFA8-43AE-B86B-ABBCE4E8E330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278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177</v>
      </c>
      <c r="D6" s="8">
        <v>11.5</v>
      </c>
      <c r="E6" s="12">
        <v>10</v>
      </c>
      <c r="F6" s="8">
        <v>1.85</v>
      </c>
      <c r="G6" s="12">
        <v>167</v>
      </c>
      <c r="H6" s="8">
        <v>16.89</v>
      </c>
      <c r="I6" s="12">
        <v>0</v>
      </c>
    </row>
    <row r="7" spans="2:9" ht="15" customHeight="1" x14ac:dyDescent="0.2">
      <c r="B7" t="s">
        <v>76</v>
      </c>
      <c r="C7" s="12">
        <v>89</v>
      </c>
      <c r="D7" s="8">
        <v>5.78</v>
      </c>
      <c r="E7" s="12">
        <v>14</v>
      </c>
      <c r="F7" s="8">
        <v>2.58</v>
      </c>
      <c r="G7" s="12">
        <v>75</v>
      </c>
      <c r="H7" s="8">
        <v>7.58</v>
      </c>
      <c r="I7" s="12">
        <v>0</v>
      </c>
    </row>
    <row r="8" spans="2:9" ht="15" customHeight="1" x14ac:dyDescent="0.2">
      <c r="B8" t="s">
        <v>77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0.1</v>
      </c>
      <c r="I8" s="12">
        <v>0</v>
      </c>
    </row>
    <row r="9" spans="2:9" ht="15" customHeight="1" x14ac:dyDescent="0.2">
      <c r="B9" t="s">
        <v>78</v>
      </c>
      <c r="C9" s="12">
        <v>31</v>
      </c>
      <c r="D9" s="8">
        <v>2.0099999999999998</v>
      </c>
      <c r="E9" s="12">
        <v>1</v>
      </c>
      <c r="F9" s="8">
        <v>0.18</v>
      </c>
      <c r="G9" s="12">
        <v>30</v>
      </c>
      <c r="H9" s="8">
        <v>3.03</v>
      </c>
      <c r="I9" s="12">
        <v>0</v>
      </c>
    </row>
    <row r="10" spans="2:9" ht="15" customHeight="1" x14ac:dyDescent="0.2">
      <c r="B10" t="s">
        <v>79</v>
      </c>
      <c r="C10" s="12">
        <v>13</v>
      </c>
      <c r="D10" s="8">
        <v>0.84</v>
      </c>
      <c r="E10" s="12">
        <v>2</v>
      </c>
      <c r="F10" s="8">
        <v>0.37</v>
      </c>
      <c r="G10" s="12">
        <v>11</v>
      </c>
      <c r="H10" s="8">
        <v>1.1100000000000001</v>
      </c>
      <c r="I10" s="12">
        <v>0</v>
      </c>
    </row>
    <row r="11" spans="2:9" ht="15" customHeight="1" x14ac:dyDescent="0.2">
      <c r="B11" t="s">
        <v>80</v>
      </c>
      <c r="C11" s="12">
        <v>279</v>
      </c>
      <c r="D11" s="8">
        <v>18.13</v>
      </c>
      <c r="E11" s="12">
        <v>77</v>
      </c>
      <c r="F11" s="8">
        <v>14.21</v>
      </c>
      <c r="G11" s="12">
        <v>202</v>
      </c>
      <c r="H11" s="8">
        <v>20.420000000000002</v>
      </c>
      <c r="I11" s="12">
        <v>0</v>
      </c>
    </row>
    <row r="12" spans="2:9" ht="15" customHeight="1" x14ac:dyDescent="0.2">
      <c r="B12" t="s">
        <v>81</v>
      </c>
      <c r="C12" s="12">
        <v>15</v>
      </c>
      <c r="D12" s="8">
        <v>0.97</v>
      </c>
      <c r="E12" s="12">
        <v>1</v>
      </c>
      <c r="F12" s="8">
        <v>0.18</v>
      </c>
      <c r="G12" s="12">
        <v>14</v>
      </c>
      <c r="H12" s="8">
        <v>1.42</v>
      </c>
      <c r="I12" s="12">
        <v>0</v>
      </c>
    </row>
    <row r="13" spans="2:9" ht="15" customHeight="1" x14ac:dyDescent="0.2">
      <c r="B13" t="s">
        <v>82</v>
      </c>
      <c r="C13" s="12">
        <v>188</v>
      </c>
      <c r="D13" s="8">
        <v>12.22</v>
      </c>
      <c r="E13" s="12">
        <v>39</v>
      </c>
      <c r="F13" s="8">
        <v>7.2</v>
      </c>
      <c r="G13" s="12">
        <v>149</v>
      </c>
      <c r="H13" s="8">
        <v>15.07</v>
      </c>
      <c r="I13" s="12">
        <v>0</v>
      </c>
    </row>
    <row r="14" spans="2:9" ht="15" customHeight="1" x14ac:dyDescent="0.2">
      <c r="B14" t="s">
        <v>83</v>
      </c>
      <c r="C14" s="12">
        <v>159</v>
      </c>
      <c r="D14" s="8">
        <v>10.33</v>
      </c>
      <c r="E14" s="12">
        <v>66</v>
      </c>
      <c r="F14" s="8">
        <v>12.18</v>
      </c>
      <c r="G14" s="12">
        <v>93</v>
      </c>
      <c r="H14" s="8">
        <v>9.4</v>
      </c>
      <c r="I14" s="12">
        <v>0</v>
      </c>
    </row>
    <row r="15" spans="2:9" ht="15" customHeight="1" x14ac:dyDescent="0.2">
      <c r="B15" t="s">
        <v>84</v>
      </c>
      <c r="C15" s="12">
        <v>137</v>
      </c>
      <c r="D15" s="8">
        <v>8.9</v>
      </c>
      <c r="E15" s="12">
        <v>94</v>
      </c>
      <c r="F15" s="8">
        <v>17.34</v>
      </c>
      <c r="G15" s="12">
        <v>42</v>
      </c>
      <c r="H15" s="8">
        <v>4.25</v>
      </c>
      <c r="I15" s="12">
        <v>0</v>
      </c>
    </row>
    <row r="16" spans="2:9" ht="15" customHeight="1" x14ac:dyDescent="0.2">
      <c r="B16" t="s">
        <v>85</v>
      </c>
      <c r="C16" s="12">
        <v>213</v>
      </c>
      <c r="D16" s="8">
        <v>13.84</v>
      </c>
      <c r="E16" s="12">
        <v>140</v>
      </c>
      <c r="F16" s="8">
        <v>25.83</v>
      </c>
      <c r="G16" s="12">
        <v>72</v>
      </c>
      <c r="H16" s="8">
        <v>7.28</v>
      </c>
      <c r="I16" s="12">
        <v>0</v>
      </c>
    </row>
    <row r="17" spans="2:9" ht="15" customHeight="1" x14ac:dyDescent="0.2">
      <c r="B17" t="s">
        <v>86</v>
      </c>
      <c r="C17" s="12">
        <v>62</v>
      </c>
      <c r="D17" s="8">
        <v>4.03</v>
      </c>
      <c r="E17" s="12">
        <v>30</v>
      </c>
      <c r="F17" s="8">
        <v>5.54</v>
      </c>
      <c r="G17" s="12">
        <v>27</v>
      </c>
      <c r="H17" s="8">
        <v>2.73</v>
      </c>
      <c r="I17" s="12">
        <v>0</v>
      </c>
    </row>
    <row r="18" spans="2:9" ht="15" customHeight="1" x14ac:dyDescent="0.2">
      <c r="B18" t="s">
        <v>87</v>
      </c>
      <c r="C18" s="12">
        <v>115</v>
      </c>
      <c r="D18" s="8">
        <v>7.47</v>
      </c>
      <c r="E18" s="12">
        <v>62</v>
      </c>
      <c r="F18" s="8">
        <v>11.44</v>
      </c>
      <c r="G18" s="12">
        <v>53</v>
      </c>
      <c r="H18" s="8">
        <v>5.36</v>
      </c>
      <c r="I18" s="12">
        <v>0</v>
      </c>
    </row>
    <row r="19" spans="2:9" ht="15" customHeight="1" x14ac:dyDescent="0.2">
      <c r="B19" t="s">
        <v>88</v>
      </c>
      <c r="C19" s="12">
        <v>60</v>
      </c>
      <c r="D19" s="8">
        <v>3.9</v>
      </c>
      <c r="E19" s="12">
        <v>6</v>
      </c>
      <c r="F19" s="8">
        <v>1.1100000000000001</v>
      </c>
      <c r="G19" s="12">
        <v>53</v>
      </c>
      <c r="H19" s="8">
        <v>5.36</v>
      </c>
      <c r="I19" s="12">
        <v>0</v>
      </c>
    </row>
    <row r="20" spans="2:9" ht="15" customHeight="1" x14ac:dyDescent="0.2">
      <c r="B20" s="9" t="s">
        <v>269</v>
      </c>
      <c r="C20" s="12">
        <f>SUM(LTBL_11105[総数／事業所数])</f>
        <v>1539</v>
      </c>
      <c r="E20" s="12">
        <f>SUBTOTAL(109,LTBL_11105[個人／事業所数])</f>
        <v>542</v>
      </c>
      <c r="G20" s="12">
        <f>SUBTOTAL(109,LTBL_11105[法人／事業所数])</f>
        <v>989</v>
      </c>
      <c r="I20" s="12">
        <f>SUBTOTAL(109,LTBL_11105[法人以外の団体／事業所数])</f>
        <v>0</v>
      </c>
    </row>
    <row r="21" spans="2:9" ht="15" customHeight="1" x14ac:dyDescent="0.2">
      <c r="E21" s="11">
        <f>LTBL_11105[[#Totals],[個人／事業所数]]/LTBL_11105[[#Totals],[総数／事業所数]]</f>
        <v>0.3521767381416504</v>
      </c>
      <c r="G21" s="11">
        <f>LTBL_11105[[#Totals],[法人／事業所数]]/LTBL_11105[[#Totals],[総数／事業所数]]</f>
        <v>0.64262508122157247</v>
      </c>
      <c r="I21" s="11">
        <f>LTBL_11105[[#Totals],[法人以外の団体／事業所数]]/LTBL_11105[[#Totals],[総数／事業所数]]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166</v>
      </c>
      <c r="D24" s="8">
        <v>10.79</v>
      </c>
      <c r="E24" s="12">
        <v>127</v>
      </c>
      <c r="F24" s="8">
        <v>23.43</v>
      </c>
      <c r="G24" s="12">
        <v>39</v>
      </c>
      <c r="H24" s="8">
        <v>3.94</v>
      </c>
      <c r="I24" s="12">
        <v>0</v>
      </c>
    </row>
    <row r="25" spans="2:9" ht="15" customHeight="1" x14ac:dyDescent="0.2">
      <c r="B25" t="s">
        <v>108</v>
      </c>
      <c r="C25" s="12">
        <v>148</v>
      </c>
      <c r="D25" s="8">
        <v>9.6199999999999992</v>
      </c>
      <c r="E25" s="12">
        <v>36</v>
      </c>
      <c r="F25" s="8">
        <v>6.64</v>
      </c>
      <c r="G25" s="12">
        <v>112</v>
      </c>
      <c r="H25" s="8">
        <v>11.32</v>
      </c>
      <c r="I25" s="12">
        <v>0</v>
      </c>
    </row>
    <row r="26" spans="2:9" ht="15" customHeight="1" x14ac:dyDescent="0.2">
      <c r="B26" t="s">
        <v>111</v>
      </c>
      <c r="C26" s="12">
        <v>120</v>
      </c>
      <c r="D26" s="8">
        <v>7.8</v>
      </c>
      <c r="E26" s="12">
        <v>93</v>
      </c>
      <c r="F26" s="8">
        <v>17.16</v>
      </c>
      <c r="G26" s="12">
        <v>27</v>
      </c>
      <c r="H26" s="8">
        <v>2.73</v>
      </c>
      <c r="I26" s="12">
        <v>0</v>
      </c>
    </row>
    <row r="27" spans="2:9" ht="15" customHeight="1" x14ac:dyDescent="0.2">
      <c r="B27" t="s">
        <v>109</v>
      </c>
      <c r="C27" s="12">
        <v>107</v>
      </c>
      <c r="D27" s="8">
        <v>6.95</v>
      </c>
      <c r="E27" s="12">
        <v>56</v>
      </c>
      <c r="F27" s="8">
        <v>10.33</v>
      </c>
      <c r="G27" s="12">
        <v>51</v>
      </c>
      <c r="H27" s="8">
        <v>5.16</v>
      </c>
      <c r="I27" s="12">
        <v>0</v>
      </c>
    </row>
    <row r="28" spans="2:9" ht="15" customHeight="1" x14ac:dyDescent="0.2">
      <c r="B28" t="s">
        <v>106</v>
      </c>
      <c r="C28" s="12">
        <v>75</v>
      </c>
      <c r="D28" s="8">
        <v>4.87</v>
      </c>
      <c r="E28" s="12">
        <v>28</v>
      </c>
      <c r="F28" s="8">
        <v>5.17</v>
      </c>
      <c r="G28" s="12">
        <v>47</v>
      </c>
      <c r="H28" s="8">
        <v>4.75</v>
      </c>
      <c r="I28" s="12">
        <v>0</v>
      </c>
    </row>
    <row r="29" spans="2:9" ht="15" customHeight="1" x14ac:dyDescent="0.2">
      <c r="B29" t="s">
        <v>97</v>
      </c>
      <c r="C29" s="12">
        <v>72</v>
      </c>
      <c r="D29" s="8">
        <v>4.68</v>
      </c>
      <c r="E29" s="12">
        <v>3</v>
      </c>
      <c r="F29" s="8">
        <v>0.55000000000000004</v>
      </c>
      <c r="G29" s="12">
        <v>69</v>
      </c>
      <c r="H29" s="8">
        <v>6.98</v>
      </c>
      <c r="I29" s="12">
        <v>0</v>
      </c>
    </row>
    <row r="30" spans="2:9" ht="15" customHeight="1" x14ac:dyDescent="0.2">
      <c r="B30" t="s">
        <v>115</v>
      </c>
      <c r="C30" s="12">
        <v>69</v>
      </c>
      <c r="D30" s="8">
        <v>4.4800000000000004</v>
      </c>
      <c r="E30" s="12">
        <v>62</v>
      </c>
      <c r="F30" s="8">
        <v>11.44</v>
      </c>
      <c r="G30" s="12">
        <v>7</v>
      </c>
      <c r="H30" s="8">
        <v>0.71</v>
      </c>
      <c r="I30" s="12">
        <v>0</v>
      </c>
    </row>
    <row r="31" spans="2:9" ht="15" customHeight="1" x14ac:dyDescent="0.2">
      <c r="B31" t="s">
        <v>114</v>
      </c>
      <c r="C31" s="12">
        <v>62</v>
      </c>
      <c r="D31" s="8">
        <v>4.03</v>
      </c>
      <c r="E31" s="12">
        <v>30</v>
      </c>
      <c r="F31" s="8">
        <v>5.54</v>
      </c>
      <c r="G31" s="12">
        <v>27</v>
      </c>
      <c r="H31" s="8">
        <v>2.73</v>
      </c>
      <c r="I31" s="12">
        <v>0</v>
      </c>
    </row>
    <row r="32" spans="2:9" ht="15" customHeight="1" x14ac:dyDescent="0.2">
      <c r="B32" t="s">
        <v>98</v>
      </c>
      <c r="C32" s="12">
        <v>56</v>
      </c>
      <c r="D32" s="8">
        <v>3.64</v>
      </c>
      <c r="E32" s="12">
        <v>6</v>
      </c>
      <c r="F32" s="8">
        <v>1.1100000000000001</v>
      </c>
      <c r="G32" s="12">
        <v>50</v>
      </c>
      <c r="H32" s="8">
        <v>5.0599999999999996</v>
      </c>
      <c r="I32" s="12">
        <v>0</v>
      </c>
    </row>
    <row r="33" spans="2:9" ht="15" customHeight="1" x14ac:dyDescent="0.2">
      <c r="B33" t="s">
        <v>99</v>
      </c>
      <c r="C33" s="12">
        <v>49</v>
      </c>
      <c r="D33" s="8">
        <v>3.18</v>
      </c>
      <c r="E33" s="12">
        <v>1</v>
      </c>
      <c r="F33" s="8">
        <v>0.18</v>
      </c>
      <c r="G33" s="12">
        <v>48</v>
      </c>
      <c r="H33" s="8">
        <v>4.8499999999999996</v>
      </c>
      <c r="I33" s="12">
        <v>0</v>
      </c>
    </row>
    <row r="34" spans="2:9" ht="15" customHeight="1" x14ac:dyDescent="0.2">
      <c r="B34" t="s">
        <v>104</v>
      </c>
      <c r="C34" s="12">
        <v>49</v>
      </c>
      <c r="D34" s="8">
        <v>3.18</v>
      </c>
      <c r="E34" s="12">
        <v>28</v>
      </c>
      <c r="F34" s="8">
        <v>5.17</v>
      </c>
      <c r="G34" s="12">
        <v>21</v>
      </c>
      <c r="H34" s="8">
        <v>2.12</v>
      </c>
      <c r="I34" s="12">
        <v>0</v>
      </c>
    </row>
    <row r="35" spans="2:9" ht="15" customHeight="1" x14ac:dyDescent="0.2">
      <c r="B35" t="s">
        <v>110</v>
      </c>
      <c r="C35" s="12">
        <v>47</v>
      </c>
      <c r="D35" s="8">
        <v>3.05</v>
      </c>
      <c r="E35" s="12">
        <v>10</v>
      </c>
      <c r="F35" s="8">
        <v>1.85</v>
      </c>
      <c r="G35" s="12">
        <v>37</v>
      </c>
      <c r="H35" s="8">
        <v>3.74</v>
      </c>
      <c r="I35" s="12">
        <v>0</v>
      </c>
    </row>
    <row r="36" spans="2:9" ht="15" customHeight="1" x14ac:dyDescent="0.2">
      <c r="B36" t="s">
        <v>118</v>
      </c>
      <c r="C36" s="12">
        <v>46</v>
      </c>
      <c r="D36" s="8">
        <v>2.99</v>
      </c>
      <c r="E36" s="12">
        <v>0</v>
      </c>
      <c r="F36" s="8">
        <v>0</v>
      </c>
      <c r="G36" s="12">
        <v>46</v>
      </c>
      <c r="H36" s="8">
        <v>4.6500000000000004</v>
      </c>
      <c r="I36" s="12">
        <v>0</v>
      </c>
    </row>
    <row r="37" spans="2:9" ht="15" customHeight="1" x14ac:dyDescent="0.2">
      <c r="B37" t="s">
        <v>107</v>
      </c>
      <c r="C37" s="12">
        <v>38</v>
      </c>
      <c r="D37" s="8">
        <v>2.4700000000000002</v>
      </c>
      <c r="E37" s="12">
        <v>3</v>
      </c>
      <c r="F37" s="8">
        <v>0.55000000000000004</v>
      </c>
      <c r="G37" s="12">
        <v>35</v>
      </c>
      <c r="H37" s="8">
        <v>3.54</v>
      </c>
      <c r="I37" s="12">
        <v>0</v>
      </c>
    </row>
    <row r="38" spans="2:9" ht="15" customHeight="1" x14ac:dyDescent="0.2">
      <c r="B38" t="s">
        <v>113</v>
      </c>
      <c r="C38" s="12">
        <v>37</v>
      </c>
      <c r="D38" s="8">
        <v>2.4</v>
      </c>
      <c r="E38" s="12">
        <v>9</v>
      </c>
      <c r="F38" s="8">
        <v>1.66</v>
      </c>
      <c r="G38" s="12">
        <v>27</v>
      </c>
      <c r="H38" s="8">
        <v>2.73</v>
      </c>
      <c r="I38" s="12">
        <v>0</v>
      </c>
    </row>
    <row r="39" spans="2:9" ht="15" customHeight="1" x14ac:dyDescent="0.2">
      <c r="B39" t="s">
        <v>102</v>
      </c>
      <c r="C39" s="12">
        <v>35</v>
      </c>
      <c r="D39" s="8">
        <v>2.27</v>
      </c>
      <c r="E39" s="12">
        <v>1</v>
      </c>
      <c r="F39" s="8">
        <v>0.18</v>
      </c>
      <c r="G39" s="12">
        <v>34</v>
      </c>
      <c r="H39" s="8">
        <v>3.44</v>
      </c>
      <c r="I39" s="12">
        <v>0</v>
      </c>
    </row>
    <row r="40" spans="2:9" ht="15" customHeight="1" x14ac:dyDescent="0.2">
      <c r="B40" t="s">
        <v>117</v>
      </c>
      <c r="C40" s="12">
        <v>26</v>
      </c>
      <c r="D40" s="8">
        <v>1.69</v>
      </c>
      <c r="E40" s="12">
        <v>1</v>
      </c>
      <c r="F40" s="8">
        <v>0.18</v>
      </c>
      <c r="G40" s="12">
        <v>25</v>
      </c>
      <c r="H40" s="8">
        <v>2.5299999999999998</v>
      </c>
      <c r="I40" s="12">
        <v>0</v>
      </c>
    </row>
    <row r="41" spans="2:9" ht="15" customHeight="1" x14ac:dyDescent="0.2">
      <c r="B41" t="s">
        <v>119</v>
      </c>
      <c r="C41" s="12">
        <v>26</v>
      </c>
      <c r="D41" s="8">
        <v>1.69</v>
      </c>
      <c r="E41" s="12">
        <v>0</v>
      </c>
      <c r="F41" s="8">
        <v>0</v>
      </c>
      <c r="G41" s="12">
        <v>26</v>
      </c>
      <c r="H41" s="8">
        <v>2.63</v>
      </c>
      <c r="I41" s="12">
        <v>0</v>
      </c>
    </row>
    <row r="42" spans="2:9" ht="15" customHeight="1" x14ac:dyDescent="0.2">
      <c r="B42" t="s">
        <v>105</v>
      </c>
      <c r="C42" s="12">
        <v>24</v>
      </c>
      <c r="D42" s="8">
        <v>1.56</v>
      </c>
      <c r="E42" s="12">
        <v>9</v>
      </c>
      <c r="F42" s="8">
        <v>1.66</v>
      </c>
      <c r="G42" s="12">
        <v>15</v>
      </c>
      <c r="H42" s="8">
        <v>1.52</v>
      </c>
      <c r="I42" s="12">
        <v>0</v>
      </c>
    </row>
    <row r="43" spans="2:9" ht="15" customHeight="1" x14ac:dyDescent="0.2">
      <c r="B43" t="s">
        <v>101</v>
      </c>
      <c r="C43" s="12">
        <v>23</v>
      </c>
      <c r="D43" s="8">
        <v>1.49</v>
      </c>
      <c r="E43" s="12">
        <v>1</v>
      </c>
      <c r="F43" s="8">
        <v>0.18</v>
      </c>
      <c r="G43" s="12">
        <v>22</v>
      </c>
      <c r="H43" s="8">
        <v>2.2200000000000002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167</v>
      </c>
      <c r="C47" s="12">
        <v>87</v>
      </c>
      <c r="D47" s="8">
        <v>5.65</v>
      </c>
      <c r="E47" s="12">
        <v>28</v>
      </c>
      <c r="F47" s="8">
        <v>5.17</v>
      </c>
      <c r="G47" s="12">
        <v>59</v>
      </c>
      <c r="H47" s="8">
        <v>5.97</v>
      </c>
      <c r="I47" s="12">
        <v>0</v>
      </c>
    </row>
    <row r="48" spans="2:9" ht="15" customHeight="1" x14ac:dyDescent="0.2">
      <c r="B48" t="s">
        <v>173</v>
      </c>
      <c r="C48" s="12">
        <v>78</v>
      </c>
      <c r="D48" s="8">
        <v>5.07</v>
      </c>
      <c r="E48" s="12">
        <v>62</v>
      </c>
      <c r="F48" s="8">
        <v>11.44</v>
      </c>
      <c r="G48" s="12">
        <v>16</v>
      </c>
      <c r="H48" s="8">
        <v>1.62</v>
      </c>
      <c r="I48" s="12">
        <v>0</v>
      </c>
    </row>
    <row r="49" spans="2:9" ht="15" customHeight="1" x14ac:dyDescent="0.2">
      <c r="B49" t="s">
        <v>169</v>
      </c>
      <c r="C49" s="12">
        <v>47</v>
      </c>
      <c r="D49" s="8">
        <v>3.05</v>
      </c>
      <c r="E49" s="12">
        <v>33</v>
      </c>
      <c r="F49" s="8">
        <v>6.09</v>
      </c>
      <c r="G49" s="12">
        <v>14</v>
      </c>
      <c r="H49" s="8">
        <v>1.42</v>
      </c>
      <c r="I49" s="12">
        <v>0</v>
      </c>
    </row>
    <row r="50" spans="2:9" ht="15" customHeight="1" x14ac:dyDescent="0.2">
      <c r="B50" t="s">
        <v>172</v>
      </c>
      <c r="C50" s="12">
        <v>47</v>
      </c>
      <c r="D50" s="8">
        <v>3.05</v>
      </c>
      <c r="E50" s="12">
        <v>42</v>
      </c>
      <c r="F50" s="8">
        <v>7.75</v>
      </c>
      <c r="G50" s="12">
        <v>5</v>
      </c>
      <c r="H50" s="8">
        <v>0.51</v>
      </c>
      <c r="I50" s="12">
        <v>0</v>
      </c>
    </row>
    <row r="51" spans="2:9" ht="15" customHeight="1" x14ac:dyDescent="0.2">
      <c r="B51" t="s">
        <v>175</v>
      </c>
      <c r="C51" s="12">
        <v>43</v>
      </c>
      <c r="D51" s="8">
        <v>2.79</v>
      </c>
      <c r="E51" s="12">
        <v>39</v>
      </c>
      <c r="F51" s="8">
        <v>7.2</v>
      </c>
      <c r="G51" s="12">
        <v>4</v>
      </c>
      <c r="H51" s="8">
        <v>0.4</v>
      </c>
      <c r="I51" s="12">
        <v>0</v>
      </c>
    </row>
    <row r="52" spans="2:9" ht="15" customHeight="1" x14ac:dyDescent="0.2">
      <c r="B52" t="s">
        <v>174</v>
      </c>
      <c r="C52" s="12">
        <v>39</v>
      </c>
      <c r="D52" s="8">
        <v>2.5299999999999998</v>
      </c>
      <c r="E52" s="12">
        <v>22</v>
      </c>
      <c r="F52" s="8">
        <v>4.0599999999999996</v>
      </c>
      <c r="G52" s="12">
        <v>17</v>
      </c>
      <c r="H52" s="8">
        <v>1.72</v>
      </c>
      <c r="I52" s="12">
        <v>0</v>
      </c>
    </row>
    <row r="53" spans="2:9" ht="15" customHeight="1" x14ac:dyDescent="0.2">
      <c r="B53" t="s">
        <v>178</v>
      </c>
      <c r="C53" s="12">
        <v>35</v>
      </c>
      <c r="D53" s="8">
        <v>2.27</v>
      </c>
      <c r="E53" s="12">
        <v>5</v>
      </c>
      <c r="F53" s="8">
        <v>0.92</v>
      </c>
      <c r="G53" s="12">
        <v>30</v>
      </c>
      <c r="H53" s="8">
        <v>3.03</v>
      </c>
      <c r="I53" s="12">
        <v>0</v>
      </c>
    </row>
    <row r="54" spans="2:9" ht="15" customHeight="1" x14ac:dyDescent="0.2">
      <c r="B54" t="s">
        <v>171</v>
      </c>
      <c r="C54" s="12">
        <v>34</v>
      </c>
      <c r="D54" s="8">
        <v>2.21</v>
      </c>
      <c r="E54" s="12">
        <v>21</v>
      </c>
      <c r="F54" s="8">
        <v>3.87</v>
      </c>
      <c r="G54" s="12">
        <v>13</v>
      </c>
      <c r="H54" s="8">
        <v>1.31</v>
      </c>
      <c r="I54" s="12">
        <v>0</v>
      </c>
    </row>
    <row r="55" spans="2:9" ht="15" customHeight="1" x14ac:dyDescent="0.2">
      <c r="B55" t="s">
        <v>168</v>
      </c>
      <c r="C55" s="12">
        <v>29</v>
      </c>
      <c r="D55" s="8">
        <v>1.88</v>
      </c>
      <c r="E55" s="12">
        <v>1</v>
      </c>
      <c r="F55" s="8">
        <v>0.18</v>
      </c>
      <c r="G55" s="12">
        <v>28</v>
      </c>
      <c r="H55" s="8">
        <v>2.83</v>
      </c>
      <c r="I55" s="12">
        <v>0</v>
      </c>
    </row>
    <row r="56" spans="2:9" ht="15" customHeight="1" x14ac:dyDescent="0.2">
      <c r="B56" t="s">
        <v>164</v>
      </c>
      <c r="C56" s="12">
        <v>27</v>
      </c>
      <c r="D56" s="8">
        <v>1.75</v>
      </c>
      <c r="E56" s="12">
        <v>14</v>
      </c>
      <c r="F56" s="8">
        <v>2.58</v>
      </c>
      <c r="G56" s="12">
        <v>13</v>
      </c>
      <c r="H56" s="8">
        <v>1.31</v>
      </c>
      <c r="I56" s="12">
        <v>0</v>
      </c>
    </row>
    <row r="57" spans="2:9" ht="15" customHeight="1" x14ac:dyDescent="0.2">
      <c r="B57" t="s">
        <v>165</v>
      </c>
      <c r="C57" s="12">
        <v>26</v>
      </c>
      <c r="D57" s="8">
        <v>1.69</v>
      </c>
      <c r="E57" s="12">
        <v>3</v>
      </c>
      <c r="F57" s="8">
        <v>0.55000000000000004</v>
      </c>
      <c r="G57" s="12">
        <v>23</v>
      </c>
      <c r="H57" s="8">
        <v>2.33</v>
      </c>
      <c r="I57" s="12">
        <v>0</v>
      </c>
    </row>
    <row r="58" spans="2:9" ht="15" customHeight="1" x14ac:dyDescent="0.2">
      <c r="B58" t="s">
        <v>193</v>
      </c>
      <c r="C58" s="12">
        <v>26</v>
      </c>
      <c r="D58" s="8">
        <v>1.69</v>
      </c>
      <c r="E58" s="12">
        <v>2</v>
      </c>
      <c r="F58" s="8">
        <v>0.37</v>
      </c>
      <c r="G58" s="12">
        <v>24</v>
      </c>
      <c r="H58" s="8">
        <v>2.4300000000000002</v>
      </c>
      <c r="I58" s="12">
        <v>0</v>
      </c>
    </row>
    <row r="59" spans="2:9" ht="15" customHeight="1" x14ac:dyDescent="0.2">
      <c r="B59" t="s">
        <v>195</v>
      </c>
      <c r="C59" s="12">
        <v>26</v>
      </c>
      <c r="D59" s="8">
        <v>1.69</v>
      </c>
      <c r="E59" s="12">
        <v>23</v>
      </c>
      <c r="F59" s="8">
        <v>4.24</v>
      </c>
      <c r="G59" s="12">
        <v>3</v>
      </c>
      <c r="H59" s="8">
        <v>0.3</v>
      </c>
      <c r="I59" s="12">
        <v>0</v>
      </c>
    </row>
    <row r="60" spans="2:9" ht="15" customHeight="1" x14ac:dyDescent="0.2">
      <c r="B60" t="s">
        <v>194</v>
      </c>
      <c r="C60" s="12">
        <v>25</v>
      </c>
      <c r="D60" s="8">
        <v>1.62</v>
      </c>
      <c r="E60" s="12">
        <v>2</v>
      </c>
      <c r="F60" s="8">
        <v>0.37</v>
      </c>
      <c r="G60" s="12">
        <v>23</v>
      </c>
      <c r="H60" s="8">
        <v>2.33</v>
      </c>
      <c r="I60" s="12">
        <v>0</v>
      </c>
    </row>
    <row r="61" spans="2:9" ht="15" customHeight="1" x14ac:dyDescent="0.2">
      <c r="B61" t="s">
        <v>166</v>
      </c>
      <c r="C61" s="12">
        <v>23</v>
      </c>
      <c r="D61" s="8">
        <v>1.49</v>
      </c>
      <c r="E61" s="12">
        <v>1</v>
      </c>
      <c r="F61" s="8">
        <v>0.18</v>
      </c>
      <c r="G61" s="12">
        <v>22</v>
      </c>
      <c r="H61" s="8">
        <v>2.2200000000000002</v>
      </c>
      <c r="I61" s="12">
        <v>0</v>
      </c>
    </row>
    <row r="62" spans="2:9" ht="15" customHeight="1" x14ac:dyDescent="0.2">
      <c r="B62" t="s">
        <v>170</v>
      </c>
      <c r="C62" s="12">
        <v>23</v>
      </c>
      <c r="D62" s="8">
        <v>1.49</v>
      </c>
      <c r="E62" s="12">
        <v>19</v>
      </c>
      <c r="F62" s="8">
        <v>3.51</v>
      </c>
      <c r="G62" s="12">
        <v>4</v>
      </c>
      <c r="H62" s="8">
        <v>0.4</v>
      </c>
      <c r="I62" s="12">
        <v>0</v>
      </c>
    </row>
    <row r="63" spans="2:9" ht="15" customHeight="1" x14ac:dyDescent="0.2">
      <c r="B63" t="s">
        <v>177</v>
      </c>
      <c r="C63" s="12">
        <v>22</v>
      </c>
      <c r="D63" s="8">
        <v>1.43</v>
      </c>
      <c r="E63" s="12">
        <v>1</v>
      </c>
      <c r="F63" s="8">
        <v>0.18</v>
      </c>
      <c r="G63" s="12">
        <v>21</v>
      </c>
      <c r="H63" s="8">
        <v>2.12</v>
      </c>
      <c r="I63" s="12">
        <v>0</v>
      </c>
    </row>
    <row r="64" spans="2:9" ht="15" customHeight="1" x14ac:dyDescent="0.2">
      <c r="B64" t="s">
        <v>196</v>
      </c>
      <c r="C64" s="12">
        <v>22</v>
      </c>
      <c r="D64" s="8">
        <v>1.43</v>
      </c>
      <c r="E64" s="12">
        <v>0</v>
      </c>
      <c r="F64" s="8">
        <v>0</v>
      </c>
      <c r="G64" s="12">
        <v>22</v>
      </c>
      <c r="H64" s="8">
        <v>2.2200000000000002</v>
      </c>
      <c r="I64" s="12">
        <v>0</v>
      </c>
    </row>
    <row r="65" spans="2:9" ht="15" customHeight="1" x14ac:dyDescent="0.2">
      <c r="B65" t="s">
        <v>185</v>
      </c>
      <c r="C65" s="12">
        <v>21</v>
      </c>
      <c r="D65" s="8">
        <v>1.36</v>
      </c>
      <c r="E65" s="12">
        <v>5</v>
      </c>
      <c r="F65" s="8">
        <v>0.92</v>
      </c>
      <c r="G65" s="12">
        <v>16</v>
      </c>
      <c r="H65" s="8">
        <v>1.62</v>
      </c>
      <c r="I65" s="12">
        <v>0</v>
      </c>
    </row>
    <row r="66" spans="2:9" ht="15" customHeight="1" x14ac:dyDescent="0.2">
      <c r="B66" t="s">
        <v>160</v>
      </c>
      <c r="C66" s="12">
        <v>20</v>
      </c>
      <c r="D66" s="8">
        <v>1.3</v>
      </c>
      <c r="E66" s="12">
        <v>1</v>
      </c>
      <c r="F66" s="8">
        <v>0.18</v>
      </c>
      <c r="G66" s="12">
        <v>19</v>
      </c>
      <c r="H66" s="8">
        <v>1.92</v>
      </c>
      <c r="I66" s="12">
        <v>0</v>
      </c>
    </row>
    <row r="67" spans="2:9" ht="15" customHeight="1" x14ac:dyDescent="0.2">
      <c r="B67" t="s">
        <v>162</v>
      </c>
      <c r="C67" s="12">
        <v>20</v>
      </c>
      <c r="D67" s="8">
        <v>1.3</v>
      </c>
      <c r="E67" s="12">
        <v>13</v>
      </c>
      <c r="F67" s="8">
        <v>2.4</v>
      </c>
      <c r="G67" s="12">
        <v>7</v>
      </c>
      <c r="H67" s="8">
        <v>0.71</v>
      </c>
      <c r="I67" s="12">
        <v>0</v>
      </c>
    </row>
    <row r="69" spans="2:9" ht="15" customHeight="1" x14ac:dyDescent="0.2">
      <c r="B69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C2C01-AD7E-404D-9835-9AD9134E4DB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279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254</v>
      </c>
      <c r="D6" s="8">
        <v>18.22</v>
      </c>
      <c r="E6" s="12">
        <v>38</v>
      </c>
      <c r="F6" s="8">
        <v>7.87</v>
      </c>
      <c r="G6" s="12">
        <v>216</v>
      </c>
      <c r="H6" s="8">
        <v>23.84</v>
      </c>
      <c r="I6" s="12">
        <v>0</v>
      </c>
    </row>
    <row r="7" spans="2:9" ht="15" customHeight="1" x14ac:dyDescent="0.2">
      <c r="B7" t="s">
        <v>76</v>
      </c>
      <c r="C7" s="12">
        <v>177</v>
      </c>
      <c r="D7" s="8">
        <v>12.7</v>
      </c>
      <c r="E7" s="12">
        <v>25</v>
      </c>
      <c r="F7" s="8">
        <v>5.18</v>
      </c>
      <c r="G7" s="12">
        <v>152</v>
      </c>
      <c r="H7" s="8">
        <v>16.78</v>
      </c>
      <c r="I7" s="12">
        <v>0</v>
      </c>
    </row>
    <row r="8" spans="2:9" ht="15" customHeight="1" x14ac:dyDescent="0.2">
      <c r="B8" t="s">
        <v>77</v>
      </c>
      <c r="C8" s="12">
        <v>2</v>
      </c>
      <c r="D8" s="8">
        <v>0.14000000000000001</v>
      </c>
      <c r="E8" s="12">
        <v>0</v>
      </c>
      <c r="F8" s="8">
        <v>0</v>
      </c>
      <c r="G8" s="12">
        <v>2</v>
      </c>
      <c r="H8" s="8">
        <v>0.22</v>
      </c>
      <c r="I8" s="12">
        <v>0</v>
      </c>
    </row>
    <row r="9" spans="2:9" ht="15" customHeight="1" x14ac:dyDescent="0.2">
      <c r="B9" t="s">
        <v>78</v>
      </c>
      <c r="C9" s="12">
        <v>23</v>
      </c>
      <c r="D9" s="8">
        <v>1.65</v>
      </c>
      <c r="E9" s="12">
        <v>1</v>
      </c>
      <c r="F9" s="8">
        <v>0.21</v>
      </c>
      <c r="G9" s="12">
        <v>22</v>
      </c>
      <c r="H9" s="8">
        <v>2.4300000000000002</v>
      </c>
      <c r="I9" s="12">
        <v>0</v>
      </c>
    </row>
    <row r="10" spans="2:9" ht="15" customHeight="1" x14ac:dyDescent="0.2">
      <c r="B10" t="s">
        <v>79</v>
      </c>
      <c r="C10" s="12">
        <v>22</v>
      </c>
      <c r="D10" s="8">
        <v>1.58</v>
      </c>
      <c r="E10" s="12">
        <v>1</v>
      </c>
      <c r="F10" s="8">
        <v>0.21</v>
      </c>
      <c r="G10" s="12">
        <v>21</v>
      </c>
      <c r="H10" s="8">
        <v>2.3199999999999998</v>
      </c>
      <c r="I10" s="12">
        <v>0</v>
      </c>
    </row>
    <row r="11" spans="2:9" ht="15" customHeight="1" x14ac:dyDescent="0.2">
      <c r="B11" t="s">
        <v>80</v>
      </c>
      <c r="C11" s="12">
        <v>210</v>
      </c>
      <c r="D11" s="8">
        <v>15.06</v>
      </c>
      <c r="E11" s="12">
        <v>58</v>
      </c>
      <c r="F11" s="8">
        <v>12.01</v>
      </c>
      <c r="G11" s="12">
        <v>152</v>
      </c>
      <c r="H11" s="8">
        <v>16.78</v>
      </c>
      <c r="I11" s="12">
        <v>0</v>
      </c>
    </row>
    <row r="12" spans="2:9" ht="15" customHeight="1" x14ac:dyDescent="0.2">
      <c r="B12" t="s">
        <v>81</v>
      </c>
      <c r="C12" s="12">
        <v>3</v>
      </c>
      <c r="D12" s="8">
        <v>0.22</v>
      </c>
      <c r="E12" s="12">
        <v>1</v>
      </c>
      <c r="F12" s="8">
        <v>0.21</v>
      </c>
      <c r="G12" s="12">
        <v>2</v>
      </c>
      <c r="H12" s="8">
        <v>0.22</v>
      </c>
      <c r="I12" s="12">
        <v>0</v>
      </c>
    </row>
    <row r="13" spans="2:9" ht="15" customHeight="1" x14ac:dyDescent="0.2">
      <c r="B13" t="s">
        <v>82</v>
      </c>
      <c r="C13" s="12">
        <v>195</v>
      </c>
      <c r="D13" s="8">
        <v>13.99</v>
      </c>
      <c r="E13" s="12">
        <v>60</v>
      </c>
      <c r="F13" s="8">
        <v>12.42</v>
      </c>
      <c r="G13" s="12">
        <v>135</v>
      </c>
      <c r="H13" s="8">
        <v>14.9</v>
      </c>
      <c r="I13" s="12">
        <v>0</v>
      </c>
    </row>
    <row r="14" spans="2:9" ht="15" customHeight="1" x14ac:dyDescent="0.2">
      <c r="B14" t="s">
        <v>83</v>
      </c>
      <c r="C14" s="12">
        <v>74</v>
      </c>
      <c r="D14" s="8">
        <v>5.31</v>
      </c>
      <c r="E14" s="12">
        <v>24</v>
      </c>
      <c r="F14" s="8">
        <v>4.97</v>
      </c>
      <c r="G14" s="12">
        <v>50</v>
      </c>
      <c r="H14" s="8">
        <v>5.52</v>
      </c>
      <c r="I14" s="12">
        <v>0</v>
      </c>
    </row>
    <row r="15" spans="2:9" ht="15" customHeight="1" x14ac:dyDescent="0.2">
      <c r="B15" t="s">
        <v>84</v>
      </c>
      <c r="C15" s="12">
        <v>123</v>
      </c>
      <c r="D15" s="8">
        <v>8.82</v>
      </c>
      <c r="E15" s="12">
        <v>101</v>
      </c>
      <c r="F15" s="8">
        <v>20.91</v>
      </c>
      <c r="G15" s="12">
        <v>22</v>
      </c>
      <c r="H15" s="8">
        <v>2.4300000000000002</v>
      </c>
      <c r="I15" s="12">
        <v>0</v>
      </c>
    </row>
    <row r="16" spans="2:9" ht="15" customHeight="1" x14ac:dyDescent="0.2">
      <c r="B16" t="s">
        <v>85</v>
      </c>
      <c r="C16" s="12">
        <v>153</v>
      </c>
      <c r="D16" s="8">
        <v>10.98</v>
      </c>
      <c r="E16" s="12">
        <v>106</v>
      </c>
      <c r="F16" s="8">
        <v>21.95</v>
      </c>
      <c r="G16" s="12">
        <v>47</v>
      </c>
      <c r="H16" s="8">
        <v>5.19</v>
      </c>
      <c r="I16" s="12">
        <v>0</v>
      </c>
    </row>
    <row r="17" spans="2:9" ht="15" customHeight="1" x14ac:dyDescent="0.2">
      <c r="B17" t="s">
        <v>86</v>
      </c>
      <c r="C17" s="12">
        <v>56</v>
      </c>
      <c r="D17" s="8">
        <v>4.0199999999999996</v>
      </c>
      <c r="E17" s="12">
        <v>35</v>
      </c>
      <c r="F17" s="8">
        <v>7.25</v>
      </c>
      <c r="G17" s="12">
        <v>16</v>
      </c>
      <c r="H17" s="8">
        <v>1.77</v>
      </c>
      <c r="I17" s="12">
        <v>0</v>
      </c>
    </row>
    <row r="18" spans="2:9" ht="15" customHeight="1" x14ac:dyDescent="0.2">
      <c r="B18" t="s">
        <v>87</v>
      </c>
      <c r="C18" s="12">
        <v>57</v>
      </c>
      <c r="D18" s="8">
        <v>4.09</v>
      </c>
      <c r="E18" s="12">
        <v>26</v>
      </c>
      <c r="F18" s="8">
        <v>5.38</v>
      </c>
      <c r="G18" s="12">
        <v>31</v>
      </c>
      <c r="H18" s="8">
        <v>3.42</v>
      </c>
      <c r="I18" s="12">
        <v>0</v>
      </c>
    </row>
    <row r="19" spans="2:9" ht="15" customHeight="1" x14ac:dyDescent="0.2">
      <c r="B19" t="s">
        <v>88</v>
      </c>
      <c r="C19" s="12">
        <v>45</v>
      </c>
      <c r="D19" s="8">
        <v>3.23</v>
      </c>
      <c r="E19" s="12">
        <v>7</v>
      </c>
      <c r="F19" s="8">
        <v>1.45</v>
      </c>
      <c r="G19" s="12">
        <v>38</v>
      </c>
      <c r="H19" s="8">
        <v>4.1900000000000004</v>
      </c>
      <c r="I19" s="12">
        <v>0</v>
      </c>
    </row>
    <row r="20" spans="2:9" ht="15" customHeight="1" x14ac:dyDescent="0.2">
      <c r="B20" s="9" t="s">
        <v>269</v>
      </c>
      <c r="C20" s="12">
        <f>SUM(LTBL_11106[総数／事業所数])</f>
        <v>1394</v>
      </c>
      <c r="E20" s="12">
        <f>SUBTOTAL(109,LTBL_11106[個人／事業所数])</f>
        <v>483</v>
      </c>
      <c r="G20" s="12">
        <f>SUBTOTAL(109,LTBL_11106[法人／事業所数])</f>
        <v>906</v>
      </c>
      <c r="I20" s="12">
        <f>SUBTOTAL(109,LTBL_11106[法人以外の団体／事業所数])</f>
        <v>0</v>
      </c>
    </row>
    <row r="21" spans="2:9" ht="15" customHeight="1" x14ac:dyDescent="0.2">
      <c r="E21" s="11">
        <f>LTBL_11106[[#Totals],[個人／事業所数]]/LTBL_11106[[#Totals],[総数／事業所数]]</f>
        <v>0.34648493543758968</v>
      </c>
      <c r="G21" s="11">
        <f>LTBL_11106[[#Totals],[法人／事業所数]]/LTBL_11106[[#Totals],[総数／事業所数]]</f>
        <v>0.64992826398852221</v>
      </c>
      <c r="I21" s="11">
        <f>LTBL_11106[[#Totals],[法人以外の団体／事業所数]]/LTBL_11106[[#Totals],[総数／事業所数]]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108</v>
      </c>
      <c r="C24" s="12">
        <v>171</v>
      </c>
      <c r="D24" s="8">
        <v>12.27</v>
      </c>
      <c r="E24" s="12">
        <v>60</v>
      </c>
      <c r="F24" s="8">
        <v>12.42</v>
      </c>
      <c r="G24" s="12">
        <v>111</v>
      </c>
      <c r="H24" s="8">
        <v>12.25</v>
      </c>
      <c r="I24" s="12">
        <v>0</v>
      </c>
    </row>
    <row r="25" spans="2:9" ht="15" customHeight="1" x14ac:dyDescent="0.2">
      <c r="B25" t="s">
        <v>112</v>
      </c>
      <c r="C25" s="12">
        <v>124</v>
      </c>
      <c r="D25" s="8">
        <v>8.9</v>
      </c>
      <c r="E25" s="12">
        <v>96</v>
      </c>
      <c r="F25" s="8">
        <v>19.88</v>
      </c>
      <c r="G25" s="12">
        <v>28</v>
      </c>
      <c r="H25" s="8">
        <v>3.09</v>
      </c>
      <c r="I25" s="12">
        <v>0</v>
      </c>
    </row>
    <row r="26" spans="2:9" ht="15" customHeight="1" x14ac:dyDescent="0.2">
      <c r="B26" t="s">
        <v>111</v>
      </c>
      <c r="C26" s="12">
        <v>113</v>
      </c>
      <c r="D26" s="8">
        <v>8.11</v>
      </c>
      <c r="E26" s="12">
        <v>100</v>
      </c>
      <c r="F26" s="8">
        <v>20.7</v>
      </c>
      <c r="G26" s="12">
        <v>13</v>
      </c>
      <c r="H26" s="8">
        <v>1.43</v>
      </c>
      <c r="I26" s="12">
        <v>0</v>
      </c>
    </row>
    <row r="27" spans="2:9" ht="15" customHeight="1" x14ac:dyDescent="0.2">
      <c r="B27" t="s">
        <v>98</v>
      </c>
      <c r="C27" s="12">
        <v>93</v>
      </c>
      <c r="D27" s="8">
        <v>6.67</v>
      </c>
      <c r="E27" s="12">
        <v>12</v>
      </c>
      <c r="F27" s="8">
        <v>2.48</v>
      </c>
      <c r="G27" s="12">
        <v>81</v>
      </c>
      <c r="H27" s="8">
        <v>8.94</v>
      </c>
      <c r="I27" s="12">
        <v>0</v>
      </c>
    </row>
    <row r="28" spans="2:9" ht="15" customHeight="1" x14ac:dyDescent="0.2">
      <c r="B28" t="s">
        <v>97</v>
      </c>
      <c r="C28" s="12">
        <v>83</v>
      </c>
      <c r="D28" s="8">
        <v>5.95</v>
      </c>
      <c r="E28" s="12">
        <v>13</v>
      </c>
      <c r="F28" s="8">
        <v>2.69</v>
      </c>
      <c r="G28" s="12">
        <v>70</v>
      </c>
      <c r="H28" s="8">
        <v>7.73</v>
      </c>
      <c r="I28" s="12">
        <v>0</v>
      </c>
    </row>
    <row r="29" spans="2:9" ht="15" customHeight="1" x14ac:dyDescent="0.2">
      <c r="B29" t="s">
        <v>99</v>
      </c>
      <c r="C29" s="12">
        <v>78</v>
      </c>
      <c r="D29" s="8">
        <v>5.6</v>
      </c>
      <c r="E29" s="12">
        <v>13</v>
      </c>
      <c r="F29" s="8">
        <v>2.69</v>
      </c>
      <c r="G29" s="12">
        <v>65</v>
      </c>
      <c r="H29" s="8">
        <v>7.17</v>
      </c>
      <c r="I29" s="12">
        <v>0</v>
      </c>
    </row>
    <row r="30" spans="2:9" ht="15" customHeight="1" x14ac:dyDescent="0.2">
      <c r="B30" t="s">
        <v>114</v>
      </c>
      <c r="C30" s="12">
        <v>56</v>
      </c>
      <c r="D30" s="8">
        <v>4.0199999999999996</v>
      </c>
      <c r="E30" s="12">
        <v>35</v>
      </c>
      <c r="F30" s="8">
        <v>7.25</v>
      </c>
      <c r="G30" s="12">
        <v>16</v>
      </c>
      <c r="H30" s="8">
        <v>1.77</v>
      </c>
      <c r="I30" s="12">
        <v>0</v>
      </c>
    </row>
    <row r="31" spans="2:9" ht="15" customHeight="1" x14ac:dyDescent="0.2">
      <c r="B31" t="s">
        <v>106</v>
      </c>
      <c r="C31" s="12">
        <v>40</v>
      </c>
      <c r="D31" s="8">
        <v>2.87</v>
      </c>
      <c r="E31" s="12">
        <v>19</v>
      </c>
      <c r="F31" s="8">
        <v>3.93</v>
      </c>
      <c r="G31" s="12">
        <v>21</v>
      </c>
      <c r="H31" s="8">
        <v>2.3199999999999998</v>
      </c>
      <c r="I31" s="12">
        <v>0</v>
      </c>
    </row>
    <row r="32" spans="2:9" ht="15" customHeight="1" x14ac:dyDescent="0.2">
      <c r="B32" t="s">
        <v>109</v>
      </c>
      <c r="C32" s="12">
        <v>39</v>
      </c>
      <c r="D32" s="8">
        <v>2.8</v>
      </c>
      <c r="E32" s="12">
        <v>14</v>
      </c>
      <c r="F32" s="8">
        <v>2.9</v>
      </c>
      <c r="G32" s="12">
        <v>25</v>
      </c>
      <c r="H32" s="8">
        <v>2.76</v>
      </c>
      <c r="I32" s="12">
        <v>0</v>
      </c>
    </row>
    <row r="33" spans="2:9" ht="15" customHeight="1" x14ac:dyDescent="0.2">
      <c r="B33" t="s">
        <v>104</v>
      </c>
      <c r="C33" s="12">
        <v>33</v>
      </c>
      <c r="D33" s="8">
        <v>2.37</v>
      </c>
      <c r="E33" s="12">
        <v>18</v>
      </c>
      <c r="F33" s="8">
        <v>3.73</v>
      </c>
      <c r="G33" s="12">
        <v>15</v>
      </c>
      <c r="H33" s="8">
        <v>1.66</v>
      </c>
      <c r="I33" s="12">
        <v>0</v>
      </c>
    </row>
    <row r="34" spans="2:9" ht="15" customHeight="1" x14ac:dyDescent="0.2">
      <c r="B34" t="s">
        <v>110</v>
      </c>
      <c r="C34" s="12">
        <v>33</v>
      </c>
      <c r="D34" s="8">
        <v>2.37</v>
      </c>
      <c r="E34" s="12">
        <v>10</v>
      </c>
      <c r="F34" s="8">
        <v>2.0699999999999998</v>
      </c>
      <c r="G34" s="12">
        <v>23</v>
      </c>
      <c r="H34" s="8">
        <v>2.54</v>
      </c>
      <c r="I34" s="12">
        <v>0</v>
      </c>
    </row>
    <row r="35" spans="2:9" ht="15" customHeight="1" x14ac:dyDescent="0.2">
      <c r="B35" t="s">
        <v>115</v>
      </c>
      <c r="C35" s="12">
        <v>33</v>
      </c>
      <c r="D35" s="8">
        <v>2.37</v>
      </c>
      <c r="E35" s="12">
        <v>26</v>
      </c>
      <c r="F35" s="8">
        <v>5.38</v>
      </c>
      <c r="G35" s="12">
        <v>7</v>
      </c>
      <c r="H35" s="8">
        <v>0.77</v>
      </c>
      <c r="I35" s="12">
        <v>0</v>
      </c>
    </row>
    <row r="36" spans="2:9" ht="15" customHeight="1" x14ac:dyDescent="0.2">
      <c r="B36" t="s">
        <v>100</v>
      </c>
      <c r="C36" s="12">
        <v>28</v>
      </c>
      <c r="D36" s="8">
        <v>2.0099999999999998</v>
      </c>
      <c r="E36" s="12">
        <v>4</v>
      </c>
      <c r="F36" s="8">
        <v>0.83</v>
      </c>
      <c r="G36" s="12">
        <v>24</v>
      </c>
      <c r="H36" s="8">
        <v>2.65</v>
      </c>
      <c r="I36" s="12">
        <v>0</v>
      </c>
    </row>
    <row r="37" spans="2:9" ht="15" customHeight="1" x14ac:dyDescent="0.2">
      <c r="B37" t="s">
        <v>105</v>
      </c>
      <c r="C37" s="12">
        <v>26</v>
      </c>
      <c r="D37" s="8">
        <v>1.87</v>
      </c>
      <c r="E37" s="12">
        <v>10</v>
      </c>
      <c r="F37" s="8">
        <v>2.0699999999999998</v>
      </c>
      <c r="G37" s="12">
        <v>16</v>
      </c>
      <c r="H37" s="8">
        <v>1.77</v>
      </c>
      <c r="I37" s="12">
        <v>0</v>
      </c>
    </row>
    <row r="38" spans="2:9" ht="15" customHeight="1" x14ac:dyDescent="0.2">
      <c r="B38" t="s">
        <v>121</v>
      </c>
      <c r="C38" s="12">
        <v>25</v>
      </c>
      <c r="D38" s="8">
        <v>1.79</v>
      </c>
      <c r="E38" s="12">
        <v>0</v>
      </c>
      <c r="F38" s="8">
        <v>0</v>
      </c>
      <c r="G38" s="12">
        <v>25</v>
      </c>
      <c r="H38" s="8">
        <v>2.76</v>
      </c>
      <c r="I38" s="12">
        <v>0</v>
      </c>
    </row>
    <row r="39" spans="2:9" ht="15" customHeight="1" x14ac:dyDescent="0.2">
      <c r="B39" t="s">
        <v>118</v>
      </c>
      <c r="C39" s="12">
        <v>24</v>
      </c>
      <c r="D39" s="8">
        <v>1.72</v>
      </c>
      <c r="E39" s="12">
        <v>0</v>
      </c>
      <c r="F39" s="8">
        <v>0</v>
      </c>
      <c r="G39" s="12">
        <v>24</v>
      </c>
      <c r="H39" s="8">
        <v>2.65</v>
      </c>
      <c r="I39" s="12">
        <v>0</v>
      </c>
    </row>
    <row r="40" spans="2:9" ht="15" customHeight="1" x14ac:dyDescent="0.2">
      <c r="B40" t="s">
        <v>102</v>
      </c>
      <c r="C40" s="12">
        <v>21</v>
      </c>
      <c r="D40" s="8">
        <v>1.51</v>
      </c>
      <c r="E40" s="12">
        <v>0</v>
      </c>
      <c r="F40" s="8">
        <v>0</v>
      </c>
      <c r="G40" s="12">
        <v>21</v>
      </c>
      <c r="H40" s="8">
        <v>2.3199999999999998</v>
      </c>
      <c r="I40" s="12">
        <v>0</v>
      </c>
    </row>
    <row r="41" spans="2:9" ht="15" customHeight="1" x14ac:dyDescent="0.2">
      <c r="B41" t="s">
        <v>101</v>
      </c>
      <c r="C41" s="12">
        <v>20</v>
      </c>
      <c r="D41" s="8">
        <v>1.43</v>
      </c>
      <c r="E41" s="12">
        <v>1</v>
      </c>
      <c r="F41" s="8">
        <v>0.21</v>
      </c>
      <c r="G41" s="12">
        <v>19</v>
      </c>
      <c r="H41" s="8">
        <v>2.1</v>
      </c>
      <c r="I41" s="12">
        <v>0</v>
      </c>
    </row>
    <row r="42" spans="2:9" ht="15" customHeight="1" x14ac:dyDescent="0.2">
      <c r="B42" t="s">
        <v>117</v>
      </c>
      <c r="C42" s="12">
        <v>20</v>
      </c>
      <c r="D42" s="8">
        <v>1.43</v>
      </c>
      <c r="E42" s="12">
        <v>2</v>
      </c>
      <c r="F42" s="8">
        <v>0.41</v>
      </c>
      <c r="G42" s="12">
        <v>18</v>
      </c>
      <c r="H42" s="8">
        <v>1.99</v>
      </c>
      <c r="I42" s="12">
        <v>0</v>
      </c>
    </row>
    <row r="43" spans="2:9" ht="15" customHeight="1" x14ac:dyDescent="0.2">
      <c r="B43" t="s">
        <v>113</v>
      </c>
      <c r="C43" s="12">
        <v>20</v>
      </c>
      <c r="D43" s="8">
        <v>1.43</v>
      </c>
      <c r="E43" s="12">
        <v>7</v>
      </c>
      <c r="F43" s="8">
        <v>1.45</v>
      </c>
      <c r="G43" s="12">
        <v>13</v>
      </c>
      <c r="H43" s="8">
        <v>1.43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167</v>
      </c>
      <c r="C47" s="12">
        <v>94</v>
      </c>
      <c r="D47" s="8">
        <v>6.74</v>
      </c>
      <c r="E47" s="12">
        <v>50</v>
      </c>
      <c r="F47" s="8">
        <v>10.35</v>
      </c>
      <c r="G47" s="12">
        <v>44</v>
      </c>
      <c r="H47" s="8">
        <v>4.8600000000000003</v>
      </c>
      <c r="I47" s="12">
        <v>0</v>
      </c>
    </row>
    <row r="48" spans="2:9" ht="15" customHeight="1" x14ac:dyDescent="0.2">
      <c r="B48" t="s">
        <v>173</v>
      </c>
      <c r="C48" s="12">
        <v>51</v>
      </c>
      <c r="D48" s="8">
        <v>3.66</v>
      </c>
      <c r="E48" s="12">
        <v>47</v>
      </c>
      <c r="F48" s="8">
        <v>9.73</v>
      </c>
      <c r="G48" s="12">
        <v>4</v>
      </c>
      <c r="H48" s="8">
        <v>0.44</v>
      </c>
      <c r="I48" s="12">
        <v>0</v>
      </c>
    </row>
    <row r="49" spans="2:9" ht="15" customHeight="1" x14ac:dyDescent="0.2">
      <c r="B49" t="s">
        <v>172</v>
      </c>
      <c r="C49" s="12">
        <v>46</v>
      </c>
      <c r="D49" s="8">
        <v>3.3</v>
      </c>
      <c r="E49" s="12">
        <v>38</v>
      </c>
      <c r="F49" s="8">
        <v>7.87</v>
      </c>
      <c r="G49" s="12">
        <v>8</v>
      </c>
      <c r="H49" s="8">
        <v>0.88</v>
      </c>
      <c r="I49" s="12">
        <v>0</v>
      </c>
    </row>
    <row r="50" spans="2:9" ht="15" customHeight="1" x14ac:dyDescent="0.2">
      <c r="B50" t="s">
        <v>170</v>
      </c>
      <c r="C50" s="12">
        <v>41</v>
      </c>
      <c r="D50" s="8">
        <v>2.94</v>
      </c>
      <c r="E50" s="12">
        <v>37</v>
      </c>
      <c r="F50" s="8">
        <v>7.66</v>
      </c>
      <c r="G50" s="12">
        <v>4</v>
      </c>
      <c r="H50" s="8">
        <v>0.44</v>
      </c>
      <c r="I50" s="12">
        <v>0</v>
      </c>
    </row>
    <row r="51" spans="2:9" ht="15" customHeight="1" x14ac:dyDescent="0.2">
      <c r="B51" t="s">
        <v>168</v>
      </c>
      <c r="C51" s="12">
        <v>39</v>
      </c>
      <c r="D51" s="8">
        <v>2.8</v>
      </c>
      <c r="E51" s="12">
        <v>1</v>
      </c>
      <c r="F51" s="8">
        <v>0.21</v>
      </c>
      <c r="G51" s="12">
        <v>38</v>
      </c>
      <c r="H51" s="8">
        <v>4.1900000000000004</v>
      </c>
      <c r="I51" s="12">
        <v>0</v>
      </c>
    </row>
    <row r="52" spans="2:9" ht="15" customHeight="1" x14ac:dyDescent="0.2">
      <c r="B52" t="s">
        <v>174</v>
      </c>
      <c r="C52" s="12">
        <v>38</v>
      </c>
      <c r="D52" s="8">
        <v>2.73</v>
      </c>
      <c r="E52" s="12">
        <v>31</v>
      </c>
      <c r="F52" s="8">
        <v>6.42</v>
      </c>
      <c r="G52" s="12">
        <v>7</v>
      </c>
      <c r="H52" s="8">
        <v>0.77</v>
      </c>
      <c r="I52" s="12">
        <v>0</v>
      </c>
    </row>
    <row r="53" spans="2:9" ht="15" customHeight="1" x14ac:dyDescent="0.2">
      <c r="B53" t="s">
        <v>161</v>
      </c>
      <c r="C53" s="12">
        <v>33</v>
      </c>
      <c r="D53" s="8">
        <v>2.37</v>
      </c>
      <c r="E53" s="12">
        <v>5</v>
      </c>
      <c r="F53" s="8">
        <v>1.04</v>
      </c>
      <c r="G53" s="12">
        <v>28</v>
      </c>
      <c r="H53" s="8">
        <v>3.09</v>
      </c>
      <c r="I53" s="12">
        <v>0</v>
      </c>
    </row>
    <row r="54" spans="2:9" ht="15" customHeight="1" x14ac:dyDescent="0.2">
      <c r="B54" t="s">
        <v>169</v>
      </c>
      <c r="C54" s="12">
        <v>32</v>
      </c>
      <c r="D54" s="8">
        <v>2.2999999999999998</v>
      </c>
      <c r="E54" s="12">
        <v>28</v>
      </c>
      <c r="F54" s="8">
        <v>5.8</v>
      </c>
      <c r="G54" s="12">
        <v>4</v>
      </c>
      <c r="H54" s="8">
        <v>0.44</v>
      </c>
      <c r="I54" s="12">
        <v>0</v>
      </c>
    </row>
    <row r="55" spans="2:9" ht="15" customHeight="1" x14ac:dyDescent="0.2">
      <c r="B55" t="s">
        <v>166</v>
      </c>
      <c r="C55" s="12">
        <v>29</v>
      </c>
      <c r="D55" s="8">
        <v>2.08</v>
      </c>
      <c r="E55" s="12">
        <v>2</v>
      </c>
      <c r="F55" s="8">
        <v>0.41</v>
      </c>
      <c r="G55" s="12">
        <v>27</v>
      </c>
      <c r="H55" s="8">
        <v>2.98</v>
      </c>
      <c r="I55" s="12">
        <v>0</v>
      </c>
    </row>
    <row r="56" spans="2:9" ht="15" customHeight="1" x14ac:dyDescent="0.2">
      <c r="B56" t="s">
        <v>177</v>
      </c>
      <c r="C56" s="12">
        <v>28</v>
      </c>
      <c r="D56" s="8">
        <v>2.0099999999999998</v>
      </c>
      <c r="E56" s="12">
        <v>7</v>
      </c>
      <c r="F56" s="8">
        <v>1.45</v>
      </c>
      <c r="G56" s="12">
        <v>21</v>
      </c>
      <c r="H56" s="8">
        <v>2.3199999999999998</v>
      </c>
      <c r="I56" s="12">
        <v>0</v>
      </c>
    </row>
    <row r="57" spans="2:9" ht="15" customHeight="1" x14ac:dyDescent="0.2">
      <c r="B57" t="s">
        <v>160</v>
      </c>
      <c r="C57" s="12">
        <v>26</v>
      </c>
      <c r="D57" s="8">
        <v>1.87</v>
      </c>
      <c r="E57" s="12">
        <v>6</v>
      </c>
      <c r="F57" s="8">
        <v>1.24</v>
      </c>
      <c r="G57" s="12">
        <v>20</v>
      </c>
      <c r="H57" s="8">
        <v>2.21</v>
      </c>
      <c r="I57" s="12">
        <v>0</v>
      </c>
    </row>
    <row r="58" spans="2:9" ht="15" customHeight="1" x14ac:dyDescent="0.2">
      <c r="B58" t="s">
        <v>171</v>
      </c>
      <c r="C58" s="12">
        <v>25</v>
      </c>
      <c r="D58" s="8">
        <v>1.79</v>
      </c>
      <c r="E58" s="12">
        <v>11</v>
      </c>
      <c r="F58" s="8">
        <v>2.2799999999999998</v>
      </c>
      <c r="G58" s="12">
        <v>14</v>
      </c>
      <c r="H58" s="8">
        <v>1.55</v>
      </c>
      <c r="I58" s="12">
        <v>0</v>
      </c>
    </row>
    <row r="59" spans="2:9" ht="15" customHeight="1" x14ac:dyDescent="0.2">
      <c r="B59" t="s">
        <v>182</v>
      </c>
      <c r="C59" s="12">
        <v>22</v>
      </c>
      <c r="D59" s="8">
        <v>1.58</v>
      </c>
      <c r="E59" s="12">
        <v>2</v>
      </c>
      <c r="F59" s="8">
        <v>0.41</v>
      </c>
      <c r="G59" s="12">
        <v>20</v>
      </c>
      <c r="H59" s="8">
        <v>2.21</v>
      </c>
      <c r="I59" s="12">
        <v>0</v>
      </c>
    </row>
    <row r="60" spans="2:9" ht="15" customHeight="1" x14ac:dyDescent="0.2">
      <c r="B60" t="s">
        <v>175</v>
      </c>
      <c r="C60" s="12">
        <v>22</v>
      </c>
      <c r="D60" s="8">
        <v>1.58</v>
      </c>
      <c r="E60" s="12">
        <v>18</v>
      </c>
      <c r="F60" s="8">
        <v>3.73</v>
      </c>
      <c r="G60" s="12">
        <v>4</v>
      </c>
      <c r="H60" s="8">
        <v>0.44</v>
      </c>
      <c r="I60" s="12">
        <v>0</v>
      </c>
    </row>
    <row r="61" spans="2:9" ht="15" customHeight="1" x14ac:dyDescent="0.2">
      <c r="B61" t="s">
        <v>158</v>
      </c>
      <c r="C61" s="12">
        <v>21</v>
      </c>
      <c r="D61" s="8">
        <v>1.51</v>
      </c>
      <c r="E61" s="12">
        <v>3</v>
      </c>
      <c r="F61" s="8">
        <v>0.62</v>
      </c>
      <c r="G61" s="12">
        <v>18</v>
      </c>
      <c r="H61" s="8">
        <v>1.99</v>
      </c>
      <c r="I61" s="12">
        <v>0</v>
      </c>
    </row>
    <row r="62" spans="2:9" ht="15" customHeight="1" x14ac:dyDescent="0.2">
      <c r="B62" t="s">
        <v>157</v>
      </c>
      <c r="C62" s="12">
        <v>20</v>
      </c>
      <c r="D62" s="8">
        <v>1.43</v>
      </c>
      <c r="E62" s="12">
        <v>0</v>
      </c>
      <c r="F62" s="8">
        <v>0</v>
      </c>
      <c r="G62" s="12">
        <v>20</v>
      </c>
      <c r="H62" s="8">
        <v>2.21</v>
      </c>
      <c r="I62" s="12">
        <v>0</v>
      </c>
    </row>
    <row r="63" spans="2:9" ht="15" customHeight="1" x14ac:dyDescent="0.2">
      <c r="B63" t="s">
        <v>178</v>
      </c>
      <c r="C63" s="12">
        <v>20</v>
      </c>
      <c r="D63" s="8">
        <v>1.43</v>
      </c>
      <c r="E63" s="12">
        <v>3</v>
      </c>
      <c r="F63" s="8">
        <v>0.62</v>
      </c>
      <c r="G63" s="12">
        <v>17</v>
      </c>
      <c r="H63" s="8">
        <v>1.88</v>
      </c>
      <c r="I63" s="12">
        <v>0</v>
      </c>
    </row>
    <row r="64" spans="2:9" ht="15" customHeight="1" x14ac:dyDescent="0.2">
      <c r="B64" t="s">
        <v>181</v>
      </c>
      <c r="C64" s="12">
        <v>16</v>
      </c>
      <c r="D64" s="8">
        <v>1.1499999999999999</v>
      </c>
      <c r="E64" s="12">
        <v>2</v>
      </c>
      <c r="F64" s="8">
        <v>0.41</v>
      </c>
      <c r="G64" s="12">
        <v>14</v>
      </c>
      <c r="H64" s="8">
        <v>1.55</v>
      </c>
      <c r="I64" s="12">
        <v>0</v>
      </c>
    </row>
    <row r="65" spans="2:9" ht="15" customHeight="1" x14ac:dyDescent="0.2">
      <c r="B65" t="s">
        <v>176</v>
      </c>
      <c r="C65" s="12">
        <v>16</v>
      </c>
      <c r="D65" s="8">
        <v>1.1499999999999999</v>
      </c>
      <c r="E65" s="12">
        <v>5</v>
      </c>
      <c r="F65" s="8">
        <v>1.04</v>
      </c>
      <c r="G65" s="12">
        <v>11</v>
      </c>
      <c r="H65" s="8">
        <v>1.21</v>
      </c>
      <c r="I65" s="12">
        <v>0</v>
      </c>
    </row>
    <row r="66" spans="2:9" ht="15" customHeight="1" x14ac:dyDescent="0.2">
      <c r="B66" t="s">
        <v>197</v>
      </c>
      <c r="C66" s="12">
        <v>15</v>
      </c>
      <c r="D66" s="8">
        <v>1.08</v>
      </c>
      <c r="E66" s="12">
        <v>5</v>
      </c>
      <c r="F66" s="8">
        <v>1.04</v>
      </c>
      <c r="G66" s="12">
        <v>10</v>
      </c>
      <c r="H66" s="8">
        <v>1.1000000000000001</v>
      </c>
      <c r="I66" s="12">
        <v>0</v>
      </c>
    </row>
    <row r="68" spans="2:9" ht="15" customHeight="1" x14ac:dyDescent="0.2">
      <c r="B68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EE07C-C693-4D99-BBF2-42BADEC4DE86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280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163</v>
      </c>
      <c r="D6" s="8">
        <v>5.6</v>
      </c>
      <c r="E6" s="12">
        <v>31</v>
      </c>
      <c r="F6" s="8">
        <v>2.74</v>
      </c>
      <c r="G6" s="12">
        <v>132</v>
      </c>
      <c r="H6" s="8">
        <v>7.5</v>
      </c>
      <c r="I6" s="12">
        <v>0</v>
      </c>
    </row>
    <row r="7" spans="2:9" ht="15" customHeight="1" x14ac:dyDescent="0.2">
      <c r="B7" t="s">
        <v>76</v>
      </c>
      <c r="C7" s="12">
        <v>85</v>
      </c>
      <c r="D7" s="8">
        <v>2.92</v>
      </c>
      <c r="E7" s="12">
        <v>15</v>
      </c>
      <c r="F7" s="8">
        <v>1.33</v>
      </c>
      <c r="G7" s="12">
        <v>70</v>
      </c>
      <c r="H7" s="8">
        <v>3.98</v>
      </c>
      <c r="I7" s="12">
        <v>0</v>
      </c>
    </row>
    <row r="8" spans="2:9" ht="15" customHeight="1" x14ac:dyDescent="0.2">
      <c r="B8" t="s">
        <v>77</v>
      </c>
      <c r="C8" s="12">
        <v>2</v>
      </c>
      <c r="D8" s="8">
        <v>7.0000000000000007E-2</v>
      </c>
      <c r="E8" s="12">
        <v>0</v>
      </c>
      <c r="F8" s="8">
        <v>0</v>
      </c>
      <c r="G8" s="12">
        <v>2</v>
      </c>
      <c r="H8" s="8">
        <v>0.11</v>
      </c>
      <c r="I8" s="12">
        <v>0</v>
      </c>
    </row>
    <row r="9" spans="2:9" ht="15" customHeight="1" x14ac:dyDescent="0.2">
      <c r="B9" t="s">
        <v>78</v>
      </c>
      <c r="C9" s="12">
        <v>56</v>
      </c>
      <c r="D9" s="8">
        <v>1.92</v>
      </c>
      <c r="E9" s="12">
        <v>0</v>
      </c>
      <c r="F9" s="8">
        <v>0</v>
      </c>
      <c r="G9" s="12">
        <v>56</v>
      </c>
      <c r="H9" s="8">
        <v>3.18</v>
      </c>
      <c r="I9" s="12">
        <v>0</v>
      </c>
    </row>
    <row r="10" spans="2:9" ht="15" customHeight="1" x14ac:dyDescent="0.2">
      <c r="B10" t="s">
        <v>79</v>
      </c>
      <c r="C10" s="12">
        <v>13</v>
      </c>
      <c r="D10" s="8">
        <v>0.45</v>
      </c>
      <c r="E10" s="12">
        <v>2</v>
      </c>
      <c r="F10" s="8">
        <v>0.18</v>
      </c>
      <c r="G10" s="12">
        <v>11</v>
      </c>
      <c r="H10" s="8">
        <v>0.63</v>
      </c>
      <c r="I10" s="12">
        <v>0</v>
      </c>
    </row>
    <row r="11" spans="2:9" ht="15" customHeight="1" x14ac:dyDescent="0.2">
      <c r="B11" t="s">
        <v>80</v>
      </c>
      <c r="C11" s="12">
        <v>612</v>
      </c>
      <c r="D11" s="8">
        <v>21.03</v>
      </c>
      <c r="E11" s="12">
        <v>184</v>
      </c>
      <c r="F11" s="8">
        <v>16.25</v>
      </c>
      <c r="G11" s="12">
        <v>427</v>
      </c>
      <c r="H11" s="8">
        <v>24.28</v>
      </c>
      <c r="I11" s="12">
        <v>1</v>
      </c>
    </row>
    <row r="12" spans="2:9" ht="15" customHeight="1" x14ac:dyDescent="0.2">
      <c r="B12" t="s">
        <v>81</v>
      </c>
      <c r="C12" s="12">
        <v>32</v>
      </c>
      <c r="D12" s="8">
        <v>1.1000000000000001</v>
      </c>
      <c r="E12" s="12">
        <v>2</v>
      </c>
      <c r="F12" s="8">
        <v>0.18</v>
      </c>
      <c r="G12" s="12">
        <v>30</v>
      </c>
      <c r="H12" s="8">
        <v>1.71</v>
      </c>
      <c r="I12" s="12">
        <v>0</v>
      </c>
    </row>
    <row r="13" spans="2:9" ht="15" customHeight="1" x14ac:dyDescent="0.2">
      <c r="B13" t="s">
        <v>82</v>
      </c>
      <c r="C13" s="12">
        <v>450</v>
      </c>
      <c r="D13" s="8">
        <v>15.46</v>
      </c>
      <c r="E13" s="12">
        <v>68</v>
      </c>
      <c r="F13" s="8">
        <v>6.01</v>
      </c>
      <c r="G13" s="12">
        <v>381</v>
      </c>
      <c r="H13" s="8">
        <v>21.66</v>
      </c>
      <c r="I13" s="12">
        <v>1</v>
      </c>
    </row>
    <row r="14" spans="2:9" ht="15" customHeight="1" x14ac:dyDescent="0.2">
      <c r="B14" t="s">
        <v>83</v>
      </c>
      <c r="C14" s="12">
        <v>316</v>
      </c>
      <c r="D14" s="8">
        <v>10.86</v>
      </c>
      <c r="E14" s="12">
        <v>162</v>
      </c>
      <c r="F14" s="8">
        <v>14.31</v>
      </c>
      <c r="G14" s="12">
        <v>154</v>
      </c>
      <c r="H14" s="8">
        <v>8.75</v>
      </c>
      <c r="I14" s="12">
        <v>0</v>
      </c>
    </row>
    <row r="15" spans="2:9" ht="15" customHeight="1" x14ac:dyDescent="0.2">
      <c r="B15" t="s">
        <v>84</v>
      </c>
      <c r="C15" s="12">
        <v>326</v>
      </c>
      <c r="D15" s="8">
        <v>11.2</v>
      </c>
      <c r="E15" s="12">
        <v>218</v>
      </c>
      <c r="F15" s="8">
        <v>19.260000000000002</v>
      </c>
      <c r="G15" s="12">
        <v>108</v>
      </c>
      <c r="H15" s="8">
        <v>6.14</v>
      </c>
      <c r="I15" s="12">
        <v>0</v>
      </c>
    </row>
    <row r="16" spans="2:9" ht="15" customHeight="1" x14ac:dyDescent="0.2">
      <c r="B16" t="s">
        <v>85</v>
      </c>
      <c r="C16" s="12">
        <v>361</v>
      </c>
      <c r="D16" s="8">
        <v>12.41</v>
      </c>
      <c r="E16" s="12">
        <v>204</v>
      </c>
      <c r="F16" s="8">
        <v>18.02</v>
      </c>
      <c r="G16" s="12">
        <v>156</v>
      </c>
      <c r="H16" s="8">
        <v>8.8699999999999992</v>
      </c>
      <c r="I16" s="12">
        <v>1</v>
      </c>
    </row>
    <row r="17" spans="2:9" ht="15" customHeight="1" x14ac:dyDescent="0.2">
      <c r="B17" t="s">
        <v>86</v>
      </c>
      <c r="C17" s="12">
        <v>161</v>
      </c>
      <c r="D17" s="8">
        <v>5.53</v>
      </c>
      <c r="E17" s="12">
        <v>85</v>
      </c>
      <c r="F17" s="8">
        <v>7.51</v>
      </c>
      <c r="G17" s="12">
        <v>66</v>
      </c>
      <c r="H17" s="8">
        <v>3.75</v>
      </c>
      <c r="I17" s="12">
        <v>1</v>
      </c>
    </row>
    <row r="18" spans="2:9" ht="15" customHeight="1" x14ac:dyDescent="0.2">
      <c r="B18" t="s">
        <v>87</v>
      </c>
      <c r="C18" s="12">
        <v>242</v>
      </c>
      <c r="D18" s="8">
        <v>8.32</v>
      </c>
      <c r="E18" s="12">
        <v>148</v>
      </c>
      <c r="F18" s="8">
        <v>13.07</v>
      </c>
      <c r="G18" s="12">
        <v>91</v>
      </c>
      <c r="H18" s="8">
        <v>5.17</v>
      </c>
      <c r="I18" s="12">
        <v>2</v>
      </c>
    </row>
    <row r="19" spans="2:9" ht="15" customHeight="1" x14ac:dyDescent="0.2">
      <c r="B19" t="s">
        <v>88</v>
      </c>
      <c r="C19" s="12">
        <v>91</v>
      </c>
      <c r="D19" s="8">
        <v>3.13</v>
      </c>
      <c r="E19" s="12">
        <v>13</v>
      </c>
      <c r="F19" s="8">
        <v>1.1499999999999999</v>
      </c>
      <c r="G19" s="12">
        <v>75</v>
      </c>
      <c r="H19" s="8">
        <v>4.26</v>
      </c>
      <c r="I19" s="12">
        <v>3</v>
      </c>
    </row>
    <row r="20" spans="2:9" ht="15" customHeight="1" x14ac:dyDescent="0.2">
      <c r="B20" s="9" t="s">
        <v>269</v>
      </c>
      <c r="C20" s="12">
        <f>SUM(LTBL_11107[総数／事業所数])</f>
        <v>2910</v>
      </c>
      <c r="E20" s="12">
        <f>SUBTOTAL(109,LTBL_11107[個人／事業所数])</f>
        <v>1132</v>
      </c>
      <c r="G20" s="12">
        <f>SUBTOTAL(109,LTBL_11107[法人／事業所数])</f>
        <v>1759</v>
      </c>
      <c r="I20" s="12">
        <f>SUBTOTAL(109,LTBL_11107[法人以外の団体／事業所数])</f>
        <v>9</v>
      </c>
    </row>
    <row r="21" spans="2:9" ht="15" customHeight="1" x14ac:dyDescent="0.2">
      <c r="E21" s="11">
        <f>LTBL_11107[[#Totals],[個人／事業所数]]/LTBL_11107[[#Totals],[総数／事業所数]]</f>
        <v>0.38900343642611684</v>
      </c>
      <c r="G21" s="11">
        <f>LTBL_11107[[#Totals],[法人／事業所数]]/LTBL_11107[[#Totals],[総数／事業所数]]</f>
        <v>0.60446735395189</v>
      </c>
      <c r="I21" s="11">
        <f>LTBL_11107[[#Totals],[法人以外の団体／事業所数]]/LTBL_11107[[#Totals],[総数／事業所数]]</f>
        <v>3.092783505154639E-3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108</v>
      </c>
      <c r="C24" s="12">
        <v>340</v>
      </c>
      <c r="D24" s="8">
        <v>11.68</v>
      </c>
      <c r="E24" s="12">
        <v>61</v>
      </c>
      <c r="F24" s="8">
        <v>5.39</v>
      </c>
      <c r="G24" s="12">
        <v>278</v>
      </c>
      <c r="H24" s="8">
        <v>15.8</v>
      </c>
      <c r="I24" s="12">
        <v>1</v>
      </c>
    </row>
    <row r="25" spans="2:9" ht="15" customHeight="1" x14ac:dyDescent="0.2">
      <c r="B25" t="s">
        <v>111</v>
      </c>
      <c r="C25" s="12">
        <v>304</v>
      </c>
      <c r="D25" s="8">
        <v>10.45</v>
      </c>
      <c r="E25" s="12">
        <v>214</v>
      </c>
      <c r="F25" s="8">
        <v>18.899999999999999</v>
      </c>
      <c r="G25" s="12">
        <v>90</v>
      </c>
      <c r="H25" s="8">
        <v>5.12</v>
      </c>
      <c r="I25" s="12">
        <v>0</v>
      </c>
    </row>
    <row r="26" spans="2:9" ht="15" customHeight="1" x14ac:dyDescent="0.2">
      <c r="B26" t="s">
        <v>112</v>
      </c>
      <c r="C26" s="12">
        <v>289</v>
      </c>
      <c r="D26" s="8">
        <v>9.93</v>
      </c>
      <c r="E26" s="12">
        <v>180</v>
      </c>
      <c r="F26" s="8">
        <v>15.9</v>
      </c>
      <c r="G26" s="12">
        <v>109</v>
      </c>
      <c r="H26" s="8">
        <v>6.2</v>
      </c>
      <c r="I26" s="12">
        <v>0</v>
      </c>
    </row>
    <row r="27" spans="2:9" ht="15" customHeight="1" x14ac:dyDescent="0.2">
      <c r="B27" t="s">
        <v>109</v>
      </c>
      <c r="C27" s="12">
        <v>226</v>
      </c>
      <c r="D27" s="8">
        <v>7.77</v>
      </c>
      <c r="E27" s="12">
        <v>150</v>
      </c>
      <c r="F27" s="8">
        <v>13.25</v>
      </c>
      <c r="G27" s="12">
        <v>76</v>
      </c>
      <c r="H27" s="8">
        <v>4.32</v>
      </c>
      <c r="I27" s="12">
        <v>0</v>
      </c>
    </row>
    <row r="28" spans="2:9" ht="15" customHeight="1" x14ac:dyDescent="0.2">
      <c r="B28" t="s">
        <v>106</v>
      </c>
      <c r="C28" s="12">
        <v>187</v>
      </c>
      <c r="D28" s="8">
        <v>6.43</v>
      </c>
      <c r="E28" s="12">
        <v>78</v>
      </c>
      <c r="F28" s="8">
        <v>6.89</v>
      </c>
      <c r="G28" s="12">
        <v>109</v>
      </c>
      <c r="H28" s="8">
        <v>6.2</v>
      </c>
      <c r="I28" s="12">
        <v>0</v>
      </c>
    </row>
    <row r="29" spans="2:9" ht="15" customHeight="1" x14ac:dyDescent="0.2">
      <c r="B29" t="s">
        <v>115</v>
      </c>
      <c r="C29" s="12">
        <v>182</v>
      </c>
      <c r="D29" s="8">
        <v>6.25</v>
      </c>
      <c r="E29" s="12">
        <v>148</v>
      </c>
      <c r="F29" s="8">
        <v>13.07</v>
      </c>
      <c r="G29" s="12">
        <v>34</v>
      </c>
      <c r="H29" s="8">
        <v>1.93</v>
      </c>
      <c r="I29" s="12">
        <v>0</v>
      </c>
    </row>
    <row r="30" spans="2:9" ht="15" customHeight="1" x14ac:dyDescent="0.2">
      <c r="B30" t="s">
        <v>114</v>
      </c>
      <c r="C30" s="12">
        <v>161</v>
      </c>
      <c r="D30" s="8">
        <v>5.53</v>
      </c>
      <c r="E30" s="12">
        <v>85</v>
      </c>
      <c r="F30" s="8">
        <v>7.51</v>
      </c>
      <c r="G30" s="12">
        <v>66</v>
      </c>
      <c r="H30" s="8">
        <v>3.75</v>
      </c>
      <c r="I30" s="12">
        <v>1</v>
      </c>
    </row>
    <row r="31" spans="2:9" ht="15" customHeight="1" x14ac:dyDescent="0.2">
      <c r="B31" t="s">
        <v>104</v>
      </c>
      <c r="C31" s="12">
        <v>118</v>
      </c>
      <c r="D31" s="8">
        <v>4.05</v>
      </c>
      <c r="E31" s="12">
        <v>50</v>
      </c>
      <c r="F31" s="8">
        <v>4.42</v>
      </c>
      <c r="G31" s="12">
        <v>67</v>
      </c>
      <c r="H31" s="8">
        <v>3.81</v>
      </c>
      <c r="I31" s="12">
        <v>1</v>
      </c>
    </row>
    <row r="32" spans="2:9" ht="15" customHeight="1" x14ac:dyDescent="0.2">
      <c r="B32" t="s">
        <v>103</v>
      </c>
      <c r="C32" s="12">
        <v>108</v>
      </c>
      <c r="D32" s="8">
        <v>3.71</v>
      </c>
      <c r="E32" s="12">
        <v>26</v>
      </c>
      <c r="F32" s="8">
        <v>2.2999999999999998</v>
      </c>
      <c r="G32" s="12">
        <v>82</v>
      </c>
      <c r="H32" s="8">
        <v>4.66</v>
      </c>
      <c r="I32" s="12">
        <v>0</v>
      </c>
    </row>
    <row r="33" spans="2:9" ht="15" customHeight="1" x14ac:dyDescent="0.2">
      <c r="B33" t="s">
        <v>107</v>
      </c>
      <c r="C33" s="12">
        <v>104</v>
      </c>
      <c r="D33" s="8">
        <v>3.57</v>
      </c>
      <c r="E33" s="12">
        <v>7</v>
      </c>
      <c r="F33" s="8">
        <v>0.62</v>
      </c>
      <c r="G33" s="12">
        <v>97</v>
      </c>
      <c r="H33" s="8">
        <v>5.51</v>
      </c>
      <c r="I33" s="12">
        <v>0</v>
      </c>
    </row>
    <row r="34" spans="2:9" ht="15" customHeight="1" x14ac:dyDescent="0.2">
      <c r="B34" t="s">
        <v>110</v>
      </c>
      <c r="C34" s="12">
        <v>84</v>
      </c>
      <c r="D34" s="8">
        <v>2.89</v>
      </c>
      <c r="E34" s="12">
        <v>11</v>
      </c>
      <c r="F34" s="8">
        <v>0.97</v>
      </c>
      <c r="G34" s="12">
        <v>73</v>
      </c>
      <c r="H34" s="8">
        <v>4.1500000000000004</v>
      </c>
      <c r="I34" s="12">
        <v>0</v>
      </c>
    </row>
    <row r="35" spans="2:9" ht="15" customHeight="1" x14ac:dyDescent="0.2">
      <c r="B35" t="s">
        <v>97</v>
      </c>
      <c r="C35" s="12">
        <v>66</v>
      </c>
      <c r="D35" s="8">
        <v>2.27</v>
      </c>
      <c r="E35" s="12">
        <v>7</v>
      </c>
      <c r="F35" s="8">
        <v>0.62</v>
      </c>
      <c r="G35" s="12">
        <v>59</v>
      </c>
      <c r="H35" s="8">
        <v>3.35</v>
      </c>
      <c r="I35" s="12">
        <v>0</v>
      </c>
    </row>
    <row r="36" spans="2:9" ht="15" customHeight="1" x14ac:dyDescent="0.2">
      <c r="B36" t="s">
        <v>118</v>
      </c>
      <c r="C36" s="12">
        <v>60</v>
      </c>
      <c r="D36" s="8">
        <v>2.06</v>
      </c>
      <c r="E36" s="12">
        <v>0</v>
      </c>
      <c r="F36" s="8">
        <v>0</v>
      </c>
      <c r="G36" s="12">
        <v>57</v>
      </c>
      <c r="H36" s="8">
        <v>3.24</v>
      </c>
      <c r="I36" s="12">
        <v>2</v>
      </c>
    </row>
    <row r="37" spans="2:9" ht="15" customHeight="1" x14ac:dyDescent="0.2">
      <c r="B37" t="s">
        <v>119</v>
      </c>
      <c r="C37" s="12">
        <v>52</v>
      </c>
      <c r="D37" s="8">
        <v>1.79</v>
      </c>
      <c r="E37" s="12">
        <v>4</v>
      </c>
      <c r="F37" s="8">
        <v>0.35</v>
      </c>
      <c r="G37" s="12">
        <v>46</v>
      </c>
      <c r="H37" s="8">
        <v>2.62</v>
      </c>
      <c r="I37" s="12">
        <v>2</v>
      </c>
    </row>
    <row r="38" spans="2:9" ht="15" customHeight="1" x14ac:dyDescent="0.2">
      <c r="B38" t="s">
        <v>98</v>
      </c>
      <c r="C38" s="12">
        <v>49</v>
      </c>
      <c r="D38" s="8">
        <v>1.68</v>
      </c>
      <c r="E38" s="12">
        <v>15</v>
      </c>
      <c r="F38" s="8">
        <v>1.33</v>
      </c>
      <c r="G38" s="12">
        <v>34</v>
      </c>
      <c r="H38" s="8">
        <v>1.93</v>
      </c>
      <c r="I38" s="12">
        <v>0</v>
      </c>
    </row>
    <row r="39" spans="2:9" ht="15" customHeight="1" x14ac:dyDescent="0.2">
      <c r="B39" t="s">
        <v>99</v>
      </c>
      <c r="C39" s="12">
        <v>48</v>
      </c>
      <c r="D39" s="8">
        <v>1.65</v>
      </c>
      <c r="E39" s="12">
        <v>9</v>
      </c>
      <c r="F39" s="8">
        <v>0.8</v>
      </c>
      <c r="G39" s="12">
        <v>39</v>
      </c>
      <c r="H39" s="8">
        <v>2.2200000000000002</v>
      </c>
      <c r="I39" s="12">
        <v>0</v>
      </c>
    </row>
    <row r="40" spans="2:9" ht="15" customHeight="1" x14ac:dyDescent="0.2">
      <c r="B40" t="s">
        <v>117</v>
      </c>
      <c r="C40" s="12">
        <v>38</v>
      </c>
      <c r="D40" s="8">
        <v>1.31</v>
      </c>
      <c r="E40" s="12">
        <v>6</v>
      </c>
      <c r="F40" s="8">
        <v>0.53</v>
      </c>
      <c r="G40" s="12">
        <v>32</v>
      </c>
      <c r="H40" s="8">
        <v>1.82</v>
      </c>
      <c r="I40" s="12">
        <v>0</v>
      </c>
    </row>
    <row r="41" spans="2:9" ht="15" customHeight="1" x14ac:dyDescent="0.2">
      <c r="B41" t="s">
        <v>122</v>
      </c>
      <c r="C41" s="12">
        <v>38</v>
      </c>
      <c r="D41" s="8">
        <v>1.31</v>
      </c>
      <c r="E41" s="12">
        <v>3</v>
      </c>
      <c r="F41" s="8">
        <v>0.27</v>
      </c>
      <c r="G41" s="12">
        <v>35</v>
      </c>
      <c r="H41" s="8">
        <v>1.99</v>
      </c>
      <c r="I41" s="12">
        <v>0</v>
      </c>
    </row>
    <row r="42" spans="2:9" ht="15" customHeight="1" x14ac:dyDescent="0.2">
      <c r="B42" t="s">
        <v>113</v>
      </c>
      <c r="C42" s="12">
        <v>37</v>
      </c>
      <c r="D42" s="8">
        <v>1.27</v>
      </c>
      <c r="E42" s="12">
        <v>15</v>
      </c>
      <c r="F42" s="8">
        <v>1.33</v>
      </c>
      <c r="G42" s="12">
        <v>22</v>
      </c>
      <c r="H42" s="8">
        <v>1.25</v>
      </c>
      <c r="I42" s="12">
        <v>0</v>
      </c>
    </row>
    <row r="43" spans="2:9" ht="15" customHeight="1" x14ac:dyDescent="0.2">
      <c r="B43" t="s">
        <v>123</v>
      </c>
      <c r="C43" s="12">
        <v>35</v>
      </c>
      <c r="D43" s="8">
        <v>1.2</v>
      </c>
      <c r="E43" s="12">
        <v>0</v>
      </c>
      <c r="F43" s="8">
        <v>0</v>
      </c>
      <c r="G43" s="12">
        <v>35</v>
      </c>
      <c r="H43" s="8">
        <v>1.99</v>
      </c>
      <c r="I43" s="12">
        <v>0</v>
      </c>
    </row>
    <row r="44" spans="2:9" ht="15" customHeight="1" x14ac:dyDescent="0.2">
      <c r="B44" t="s">
        <v>105</v>
      </c>
      <c r="C44" s="12">
        <v>35</v>
      </c>
      <c r="D44" s="8">
        <v>1.2</v>
      </c>
      <c r="E44" s="12">
        <v>15</v>
      </c>
      <c r="F44" s="8">
        <v>1.33</v>
      </c>
      <c r="G44" s="12">
        <v>20</v>
      </c>
      <c r="H44" s="8">
        <v>1.1399999999999999</v>
      </c>
      <c r="I44" s="12">
        <v>0</v>
      </c>
    </row>
    <row r="45" spans="2:9" ht="15" customHeight="1" x14ac:dyDescent="0.2">
      <c r="B45" t="s">
        <v>124</v>
      </c>
      <c r="C45" s="12">
        <v>35</v>
      </c>
      <c r="D45" s="8">
        <v>1.2</v>
      </c>
      <c r="E45" s="12">
        <v>9</v>
      </c>
      <c r="F45" s="8">
        <v>0.8</v>
      </c>
      <c r="G45" s="12">
        <v>25</v>
      </c>
      <c r="H45" s="8">
        <v>1.42</v>
      </c>
      <c r="I45" s="12">
        <v>1</v>
      </c>
    </row>
    <row r="48" spans="2:9" ht="33" customHeight="1" x14ac:dyDescent="0.2">
      <c r="B48" t="s">
        <v>271</v>
      </c>
      <c r="C48" s="10" t="s">
        <v>90</v>
      </c>
      <c r="D48" s="10" t="s">
        <v>91</v>
      </c>
      <c r="E48" s="10" t="s">
        <v>92</v>
      </c>
      <c r="F48" s="10" t="s">
        <v>93</v>
      </c>
      <c r="G48" s="10" t="s">
        <v>94</v>
      </c>
      <c r="H48" s="10" t="s">
        <v>95</v>
      </c>
      <c r="I48" s="10" t="s">
        <v>96</v>
      </c>
    </row>
    <row r="49" spans="2:9" ht="15" customHeight="1" x14ac:dyDescent="0.2">
      <c r="B49" t="s">
        <v>167</v>
      </c>
      <c r="C49" s="12">
        <v>141</v>
      </c>
      <c r="D49" s="8">
        <v>4.8499999999999996</v>
      </c>
      <c r="E49" s="12">
        <v>35</v>
      </c>
      <c r="F49" s="8">
        <v>3.09</v>
      </c>
      <c r="G49" s="12">
        <v>106</v>
      </c>
      <c r="H49" s="8">
        <v>6.03</v>
      </c>
      <c r="I49" s="12">
        <v>0</v>
      </c>
    </row>
    <row r="50" spans="2:9" ht="15" customHeight="1" x14ac:dyDescent="0.2">
      <c r="B50" t="s">
        <v>173</v>
      </c>
      <c r="C50" s="12">
        <v>125</v>
      </c>
      <c r="D50" s="8">
        <v>4.3</v>
      </c>
      <c r="E50" s="12">
        <v>84</v>
      </c>
      <c r="F50" s="8">
        <v>7.42</v>
      </c>
      <c r="G50" s="12">
        <v>41</v>
      </c>
      <c r="H50" s="8">
        <v>2.33</v>
      </c>
      <c r="I50" s="12">
        <v>0</v>
      </c>
    </row>
    <row r="51" spans="2:9" ht="15" customHeight="1" x14ac:dyDescent="0.2">
      <c r="B51" t="s">
        <v>175</v>
      </c>
      <c r="C51" s="12">
        <v>122</v>
      </c>
      <c r="D51" s="8">
        <v>4.1900000000000004</v>
      </c>
      <c r="E51" s="12">
        <v>96</v>
      </c>
      <c r="F51" s="8">
        <v>8.48</v>
      </c>
      <c r="G51" s="12">
        <v>26</v>
      </c>
      <c r="H51" s="8">
        <v>1.48</v>
      </c>
      <c r="I51" s="12">
        <v>0</v>
      </c>
    </row>
    <row r="52" spans="2:9" ht="15" customHeight="1" x14ac:dyDescent="0.2">
      <c r="B52" t="s">
        <v>174</v>
      </c>
      <c r="C52" s="12">
        <v>99</v>
      </c>
      <c r="D52" s="8">
        <v>3.4</v>
      </c>
      <c r="E52" s="12">
        <v>64</v>
      </c>
      <c r="F52" s="8">
        <v>5.65</v>
      </c>
      <c r="G52" s="12">
        <v>35</v>
      </c>
      <c r="H52" s="8">
        <v>1.99</v>
      </c>
      <c r="I52" s="12">
        <v>0</v>
      </c>
    </row>
    <row r="53" spans="2:9" ht="15" customHeight="1" x14ac:dyDescent="0.2">
      <c r="B53" t="s">
        <v>168</v>
      </c>
      <c r="C53" s="12">
        <v>87</v>
      </c>
      <c r="D53" s="8">
        <v>2.99</v>
      </c>
      <c r="E53" s="12">
        <v>2</v>
      </c>
      <c r="F53" s="8">
        <v>0.18</v>
      </c>
      <c r="G53" s="12">
        <v>84</v>
      </c>
      <c r="H53" s="8">
        <v>4.78</v>
      </c>
      <c r="I53" s="12">
        <v>1</v>
      </c>
    </row>
    <row r="54" spans="2:9" ht="15" customHeight="1" x14ac:dyDescent="0.2">
      <c r="B54" t="s">
        <v>166</v>
      </c>
      <c r="C54" s="12">
        <v>84</v>
      </c>
      <c r="D54" s="8">
        <v>2.89</v>
      </c>
      <c r="E54" s="12">
        <v>14</v>
      </c>
      <c r="F54" s="8">
        <v>1.24</v>
      </c>
      <c r="G54" s="12">
        <v>70</v>
      </c>
      <c r="H54" s="8">
        <v>3.98</v>
      </c>
      <c r="I54" s="12">
        <v>0</v>
      </c>
    </row>
    <row r="55" spans="2:9" ht="15" customHeight="1" x14ac:dyDescent="0.2">
      <c r="B55" t="s">
        <v>169</v>
      </c>
      <c r="C55" s="12">
        <v>83</v>
      </c>
      <c r="D55" s="8">
        <v>2.85</v>
      </c>
      <c r="E55" s="12">
        <v>59</v>
      </c>
      <c r="F55" s="8">
        <v>5.21</v>
      </c>
      <c r="G55" s="12">
        <v>24</v>
      </c>
      <c r="H55" s="8">
        <v>1.36</v>
      </c>
      <c r="I55" s="12">
        <v>0</v>
      </c>
    </row>
    <row r="56" spans="2:9" ht="15" customHeight="1" x14ac:dyDescent="0.2">
      <c r="B56" t="s">
        <v>170</v>
      </c>
      <c r="C56" s="12">
        <v>83</v>
      </c>
      <c r="D56" s="8">
        <v>2.85</v>
      </c>
      <c r="E56" s="12">
        <v>60</v>
      </c>
      <c r="F56" s="8">
        <v>5.3</v>
      </c>
      <c r="G56" s="12">
        <v>23</v>
      </c>
      <c r="H56" s="8">
        <v>1.31</v>
      </c>
      <c r="I56" s="12">
        <v>0</v>
      </c>
    </row>
    <row r="57" spans="2:9" ht="15" customHeight="1" x14ac:dyDescent="0.2">
      <c r="B57" t="s">
        <v>165</v>
      </c>
      <c r="C57" s="12">
        <v>81</v>
      </c>
      <c r="D57" s="8">
        <v>2.78</v>
      </c>
      <c r="E57" s="12">
        <v>6</v>
      </c>
      <c r="F57" s="8">
        <v>0.53</v>
      </c>
      <c r="G57" s="12">
        <v>75</v>
      </c>
      <c r="H57" s="8">
        <v>4.26</v>
      </c>
      <c r="I57" s="12">
        <v>0</v>
      </c>
    </row>
    <row r="58" spans="2:9" ht="15" customHeight="1" x14ac:dyDescent="0.2">
      <c r="B58" t="s">
        <v>198</v>
      </c>
      <c r="C58" s="12">
        <v>67</v>
      </c>
      <c r="D58" s="8">
        <v>2.2999999999999998</v>
      </c>
      <c r="E58" s="12">
        <v>64</v>
      </c>
      <c r="F58" s="8">
        <v>5.65</v>
      </c>
      <c r="G58" s="12">
        <v>3</v>
      </c>
      <c r="H58" s="8">
        <v>0.17</v>
      </c>
      <c r="I58" s="12">
        <v>0</v>
      </c>
    </row>
    <row r="59" spans="2:9" ht="15" customHeight="1" x14ac:dyDescent="0.2">
      <c r="B59" t="s">
        <v>172</v>
      </c>
      <c r="C59" s="12">
        <v>67</v>
      </c>
      <c r="D59" s="8">
        <v>2.2999999999999998</v>
      </c>
      <c r="E59" s="12">
        <v>51</v>
      </c>
      <c r="F59" s="8">
        <v>4.51</v>
      </c>
      <c r="G59" s="12">
        <v>16</v>
      </c>
      <c r="H59" s="8">
        <v>0.91</v>
      </c>
      <c r="I59" s="12">
        <v>0</v>
      </c>
    </row>
    <row r="60" spans="2:9" ht="15" customHeight="1" x14ac:dyDescent="0.2">
      <c r="B60" t="s">
        <v>164</v>
      </c>
      <c r="C60" s="12">
        <v>63</v>
      </c>
      <c r="D60" s="8">
        <v>2.16</v>
      </c>
      <c r="E60" s="12">
        <v>30</v>
      </c>
      <c r="F60" s="8">
        <v>2.65</v>
      </c>
      <c r="G60" s="12">
        <v>33</v>
      </c>
      <c r="H60" s="8">
        <v>1.88</v>
      </c>
      <c r="I60" s="12">
        <v>0</v>
      </c>
    </row>
    <row r="61" spans="2:9" ht="15" customHeight="1" x14ac:dyDescent="0.2">
      <c r="B61" t="s">
        <v>171</v>
      </c>
      <c r="C61" s="12">
        <v>61</v>
      </c>
      <c r="D61" s="8">
        <v>2.1</v>
      </c>
      <c r="E61" s="12">
        <v>26</v>
      </c>
      <c r="F61" s="8">
        <v>2.2999999999999998</v>
      </c>
      <c r="G61" s="12">
        <v>35</v>
      </c>
      <c r="H61" s="8">
        <v>1.99</v>
      </c>
      <c r="I61" s="12">
        <v>0</v>
      </c>
    </row>
    <row r="62" spans="2:9" ht="15" customHeight="1" x14ac:dyDescent="0.2">
      <c r="B62" t="s">
        <v>178</v>
      </c>
      <c r="C62" s="12">
        <v>60</v>
      </c>
      <c r="D62" s="8">
        <v>2.06</v>
      </c>
      <c r="E62" s="12">
        <v>6</v>
      </c>
      <c r="F62" s="8">
        <v>0.53</v>
      </c>
      <c r="G62" s="12">
        <v>54</v>
      </c>
      <c r="H62" s="8">
        <v>3.07</v>
      </c>
      <c r="I62" s="12">
        <v>0</v>
      </c>
    </row>
    <row r="63" spans="2:9" ht="15" customHeight="1" x14ac:dyDescent="0.2">
      <c r="B63" t="s">
        <v>195</v>
      </c>
      <c r="C63" s="12">
        <v>55</v>
      </c>
      <c r="D63" s="8">
        <v>1.89</v>
      </c>
      <c r="E63" s="12">
        <v>52</v>
      </c>
      <c r="F63" s="8">
        <v>4.59</v>
      </c>
      <c r="G63" s="12">
        <v>3</v>
      </c>
      <c r="H63" s="8">
        <v>0.17</v>
      </c>
      <c r="I63" s="12">
        <v>0</v>
      </c>
    </row>
    <row r="64" spans="2:9" ht="15" customHeight="1" x14ac:dyDescent="0.2">
      <c r="B64" t="s">
        <v>186</v>
      </c>
      <c r="C64" s="12">
        <v>50</v>
      </c>
      <c r="D64" s="8">
        <v>1.72</v>
      </c>
      <c r="E64" s="12">
        <v>9</v>
      </c>
      <c r="F64" s="8">
        <v>0.8</v>
      </c>
      <c r="G64" s="12">
        <v>41</v>
      </c>
      <c r="H64" s="8">
        <v>2.33</v>
      </c>
      <c r="I64" s="12">
        <v>0</v>
      </c>
    </row>
    <row r="65" spans="2:9" ht="15" customHeight="1" x14ac:dyDescent="0.2">
      <c r="B65" t="s">
        <v>179</v>
      </c>
      <c r="C65" s="12">
        <v>46</v>
      </c>
      <c r="D65" s="8">
        <v>1.58</v>
      </c>
      <c r="E65" s="12">
        <v>21</v>
      </c>
      <c r="F65" s="8">
        <v>1.86</v>
      </c>
      <c r="G65" s="12">
        <v>25</v>
      </c>
      <c r="H65" s="8">
        <v>1.42</v>
      </c>
      <c r="I65" s="12">
        <v>0</v>
      </c>
    </row>
    <row r="66" spans="2:9" ht="15" customHeight="1" x14ac:dyDescent="0.2">
      <c r="B66" t="s">
        <v>162</v>
      </c>
      <c r="C66" s="12">
        <v>43</v>
      </c>
      <c r="D66" s="8">
        <v>1.48</v>
      </c>
      <c r="E66" s="12">
        <v>12</v>
      </c>
      <c r="F66" s="8">
        <v>1.06</v>
      </c>
      <c r="G66" s="12">
        <v>30</v>
      </c>
      <c r="H66" s="8">
        <v>1.71</v>
      </c>
      <c r="I66" s="12">
        <v>1</v>
      </c>
    </row>
    <row r="67" spans="2:9" ht="15" customHeight="1" x14ac:dyDescent="0.2">
      <c r="B67" t="s">
        <v>185</v>
      </c>
      <c r="C67" s="12">
        <v>42</v>
      </c>
      <c r="D67" s="8">
        <v>1.44</v>
      </c>
      <c r="E67" s="12">
        <v>17</v>
      </c>
      <c r="F67" s="8">
        <v>1.5</v>
      </c>
      <c r="G67" s="12">
        <v>25</v>
      </c>
      <c r="H67" s="8">
        <v>1.42</v>
      </c>
      <c r="I67" s="12">
        <v>0</v>
      </c>
    </row>
    <row r="68" spans="2:9" ht="15" customHeight="1" x14ac:dyDescent="0.2">
      <c r="B68" t="s">
        <v>192</v>
      </c>
      <c r="C68" s="12">
        <v>39</v>
      </c>
      <c r="D68" s="8">
        <v>1.34</v>
      </c>
      <c r="E68" s="12">
        <v>29</v>
      </c>
      <c r="F68" s="8">
        <v>2.56</v>
      </c>
      <c r="G68" s="12">
        <v>10</v>
      </c>
      <c r="H68" s="8">
        <v>0.56999999999999995</v>
      </c>
      <c r="I68" s="12">
        <v>0</v>
      </c>
    </row>
    <row r="70" spans="2:9" ht="15" customHeight="1" x14ac:dyDescent="0.2">
      <c r="B70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0F80F-ACC6-4353-82BB-0D736EC1AAB3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281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341</v>
      </c>
      <c r="D6" s="8">
        <v>13.46</v>
      </c>
      <c r="E6" s="12">
        <v>40</v>
      </c>
      <c r="F6" s="8">
        <v>5.03</v>
      </c>
      <c r="G6" s="12">
        <v>300</v>
      </c>
      <c r="H6" s="8">
        <v>17.39</v>
      </c>
      <c r="I6" s="12">
        <v>1</v>
      </c>
    </row>
    <row r="7" spans="2:9" ht="15" customHeight="1" x14ac:dyDescent="0.2">
      <c r="B7" t="s">
        <v>76</v>
      </c>
      <c r="C7" s="12">
        <v>174</v>
      </c>
      <c r="D7" s="8">
        <v>6.87</v>
      </c>
      <c r="E7" s="12">
        <v>24</v>
      </c>
      <c r="F7" s="8">
        <v>3.02</v>
      </c>
      <c r="G7" s="12">
        <v>150</v>
      </c>
      <c r="H7" s="8">
        <v>8.6999999999999993</v>
      </c>
      <c r="I7" s="12">
        <v>0</v>
      </c>
    </row>
    <row r="8" spans="2:9" ht="15" customHeight="1" x14ac:dyDescent="0.2">
      <c r="B8" t="s">
        <v>77</v>
      </c>
      <c r="C8" s="12">
        <v>3</v>
      </c>
      <c r="D8" s="8">
        <v>0.12</v>
      </c>
      <c r="E8" s="12">
        <v>0</v>
      </c>
      <c r="F8" s="8">
        <v>0</v>
      </c>
      <c r="G8" s="12">
        <v>3</v>
      </c>
      <c r="H8" s="8">
        <v>0.17</v>
      </c>
      <c r="I8" s="12">
        <v>0</v>
      </c>
    </row>
    <row r="9" spans="2:9" ht="15" customHeight="1" x14ac:dyDescent="0.2">
      <c r="B9" t="s">
        <v>78</v>
      </c>
      <c r="C9" s="12">
        <v>65</v>
      </c>
      <c r="D9" s="8">
        <v>2.57</v>
      </c>
      <c r="E9" s="12">
        <v>2</v>
      </c>
      <c r="F9" s="8">
        <v>0.25</v>
      </c>
      <c r="G9" s="12">
        <v>63</v>
      </c>
      <c r="H9" s="8">
        <v>3.65</v>
      </c>
      <c r="I9" s="12">
        <v>0</v>
      </c>
    </row>
    <row r="10" spans="2:9" ht="15" customHeight="1" x14ac:dyDescent="0.2">
      <c r="B10" t="s">
        <v>79</v>
      </c>
      <c r="C10" s="12">
        <v>24</v>
      </c>
      <c r="D10" s="8">
        <v>0.95</v>
      </c>
      <c r="E10" s="12">
        <v>3</v>
      </c>
      <c r="F10" s="8">
        <v>0.38</v>
      </c>
      <c r="G10" s="12">
        <v>21</v>
      </c>
      <c r="H10" s="8">
        <v>1.22</v>
      </c>
      <c r="I10" s="12">
        <v>0</v>
      </c>
    </row>
    <row r="11" spans="2:9" ht="15" customHeight="1" x14ac:dyDescent="0.2">
      <c r="B11" t="s">
        <v>80</v>
      </c>
      <c r="C11" s="12">
        <v>392</v>
      </c>
      <c r="D11" s="8">
        <v>15.48</v>
      </c>
      <c r="E11" s="12">
        <v>102</v>
      </c>
      <c r="F11" s="8">
        <v>12.81</v>
      </c>
      <c r="G11" s="12">
        <v>289</v>
      </c>
      <c r="H11" s="8">
        <v>16.75</v>
      </c>
      <c r="I11" s="12">
        <v>1</v>
      </c>
    </row>
    <row r="12" spans="2:9" ht="15" customHeight="1" x14ac:dyDescent="0.2">
      <c r="B12" t="s">
        <v>81</v>
      </c>
      <c r="C12" s="12">
        <v>19</v>
      </c>
      <c r="D12" s="8">
        <v>0.75</v>
      </c>
      <c r="E12" s="12">
        <v>2</v>
      </c>
      <c r="F12" s="8">
        <v>0.25</v>
      </c>
      <c r="G12" s="12">
        <v>17</v>
      </c>
      <c r="H12" s="8">
        <v>0.99</v>
      </c>
      <c r="I12" s="12">
        <v>0</v>
      </c>
    </row>
    <row r="13" spans="2:9" ht="15" customHeight="1" x14ac:dyDescent="0.2">
      <c r="B13" t="s">
        <v>82</v>
      </c>
      <c r="C13" s="12">
        <v>428</v>
      </c>
      <c r="D13" s="8">
        <v>16.899999999999999</v>
      </c>
      <c r="E13" s="12">
        <v>56</v>
      </c>
      <c r="F13" s="8">
        <v>7.04</v>
      </c>
      <c r="G13" s="12">
        <v>372</v>
      </c>
      <c r="H13" s="8">
        <v>21.57</v>
      </c>
      <c r="I13" s="12">
        <v>0</v>
      </c>
    </row>
    <row r="14" spans="2:9" ht="15" customHeight="1" x14ac:dyDescent="0.2">
      <c r="B14" t="s">
        <v>83</v>
      </c>
      <c r="C14" s="12">
        <v>218</v>
      </c>
      <c r="D14" s="8">
        <v>8.61</v>
      </c>
      <c r="E14" s="12">
        <v>63</v>
      </c>
      <c r="F14" s="8">
        <v>7.91</v>
      </c>
      <c r="G14" s="12">
        <v>153</v>
      </c>
      <c r="H14" s="8">
        <v>8.8699999999999992</v>
      </c>
      <c r="I14" s="12">
        <v>1</v>
      </c>
    </row>
    <row r="15" spans="2:9" ht="15" customHeight="1" x14ac:dyDescent="0.2">
      <c r="B15" t="s">
        <v>84</v>
      </c>
      <c r="C15" s="12">
        <v>198</v>
      </c>
      <c r="D15" s="8">
        <v>7.82</v>
      </c>
      <c r="E15" s="12">
        <v>140</v>
      </c>
      <c r="F15" s="8">
        <v>17.59</v>
      </c>
      <c r="G15" s="12">
        <v>58</v>
      </c>
      <c r="H15" s="8">
        <v>3.36</v>
      </c>
      <c r="I15" s="12">
        <v>0</v>
      </c>
    </row>
    <row r="16" spans="2:9" ht="15" customHeight="1" x14ac:dyDescent="0.2">
      <c r="B16" t="s">
        <v>85</v>
      </c>
      <c r="C16" s="12">
        <v>299</v>
      </c>
      <c r="D16" s="8">
        <v>11.8</v>
      </c>
      <c r="E16" s="12">
        <v>189</v>
      </c>
      <c r="F16" s="8">
        <v>23.74</v>
      </c>
      <c r="G16" s="12">
        <v>110</v>
      </c>
      <c r="H16" s="8">
        <v>6.38</v>
      </c>
      <c r="I16" s="12">
        <v>0</v>
      </c>
    </row>
    <row r="17" spans="2:9" ht="15" customHeight="1" x14ac:dyDescent="0.2">
      <c r="B17" t="s">
        <v>86</v>
      </c>
      <c r="C17" s="12">
        <v>137</v>
      </c>
      <c r="D17" s="8">
        <v>5.41</v>
      </c>
      <c r="E17" s="12">
        <v>69</v>
      </c>
      <c r="F17" s="8">
        <v>8.67</v>
      </c>
      <c r="G17" s="12">
        <v>61</v>
      </c>
      <c r="H17" s="8">
        <v>3.54</v>
      </c>
      <c r="I17" s="12">
        <v>0</v>
      </c>
    </row>
    <row r="18" spans="2:9" ht="15" customHeight="1" x14ac:dyDescent="0.2">
      <c r="B18" t="s">
        <v>87</v>
      </c>
      <c r="C18" s="12">
        <v>155</v>
      </c>
      <c r="D18" s="8">
        <v>6.12</v>
      </c>
      <c r="E18" s="12">
        <v>95</v>
      </c>
      <c r="F18" s="8">
        <v>11.93</v>
      </c>
      <c r="G18" s="12">
        <v>60</v>
      </c>
      <c r="H18" s="8">
        <v>3.48</v>
      </c>
      <c r="I18" s="12">
        <v>0</v>
      </c>
    </row>
    <row r="19" spans="2:9" ht="15" customHeight="1" x14ac:dyDescent="0.2">
      <c r="B19" t="s">
        <v>88</v>
      </c>
      <c r="C19" s="12">
        <v>80</v>
      </c>
      <c r="D19" s="8">
        <v>3.16</v>
      </c>
      <c r="E19" s="12">
        <v>11</v>
      </c>
      <c r="F19" s="8">
        <v>1.38</v>
      </c>
      <c r="G19" s="12">
        <v>68</v>
      </c>
      <c r="H19" s="8">
        <v>3.94</v>
      </c>
      <c r="I19" s="12">
        <v>1</v>
      </c>
    </row>
    <row r="20" spans="2:9" ht="15" customHeight="1" x14ac:dyDescent="0.2">
      <c r="B20" s="9" t="s">
        <v>269</v>
      </c>
      <c r="C20" s="12">
        <f>SUM(LTBL_11108[総数／事業所数])</f>
        <v>2533</v>
      </c>
      <c r="E20" s="12">
        <f>SUBTOTAL(109,LTBL_11108[個人／事業所数])</f>
        <v>796</v>
      </c>
      <c r="G20" s="12">
        <f>SUBTOTAL(109,LTBL_11108[法人／事業所数])</f>
        <v>1725</v>
      </c>
      <c r="I20" s="12">
        <f>SUBTOTAL(109,LTBL_11108[法人以外の団体／事業所数])</f>
        <v>4</v>
      </c>
    </row>
    <row r="21" spans="2:9" ht="15" customHeight="1" x14ac:dyDescent="0.2">
      <c r="E21" s="11">
        <f>LTBL_11108[[#Totals],[個人／事業所数]]/LTBL_11108[[#Totals],[総数／事業所数]]</f>
        <v>0.31425187524674297</v>
      </c>
      <c r="G21" s="11">
        <f>LTBL_11108[[#Totals],[法人／事業所数]]/LTBL_11108[[#Totals],[総数／事業所数]]</f>
        <v>0.681010659297276</v>
      </c>
      <c r="I21" s="11">
        <f>LTBL_11108[[#Totals],[法人以外の団体／事業所数]]/LTBL_11108[[#Totals],[総数／事業所数]]</f>
        <v>1.5791551519936833E-3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108</v>
      </c>
      <c r="C24" s="12">
        <v>356</v>
      </c>
      <c r="D24" s="8">
        <v>14.05</v>
      </c>
      <c r="E24" s="12">
        <v>54</v>
      </c>
      <c r="F24" s="8">
        <v>6.78</v>
      </c>
      <c r="G24" s="12">
        <v>302</v>
      </c>
      <c r="H24" s="8">
        <v>17.510000000000002</v>
      </c>
      <c r="I24" s="12">
        <v>0</v>
      </c>
    </row>
    <row r="25" spans="2:9" ht="15" customHeight="1" x14ac:dyDescent="0.2">
      <c r="B25" t="s">
        <v>112</v>
      </c>
      <c r="C25" s="12">
        <v>238</v>
      </c>
      <c r="D25" s="8">
        <v>9.4</v>
      </c>
      <c r="E25" s="12">
        <v>172</v>
      </c>
      <c r="F25" s="8">
        <v>21.61</v>
      </c>
      <c r="G25" s="12">
        <v>66</v>
      </c>
      <c r="H25" s="8">
        <v>3.83</v>
      </c>
      <c r="I25" s="12">
        <v>0</v>
      </c>
    </row>
    <row r="26" spans="2:9" ht="15" customHeight="1" x14ac:dyDescent="0.2">
      <c r="B26" t="s">
        <v>111</v>
      </c>
      <c r="C26" s="12">
        <v>176</v>
      </c>
      <c r="D26" s="8">
        <v>6.95</v>
      </c>
      <c r="E26" s="12">
        <v>139</v>
      </c>
      <c r="F26" s="8">
        <v>17.46</v>
      </c>
      <c r="G26" s="12">
        <v>37</v>
      </c>
      <c r="H26" s="8">
        <v>2.14</v>
      </c>
      <c r="I26" s="12">
        <v>0</v>
      </c>
    </row>
    <row r="27" spans="2:9" ht="15" customHeight="1" x14ac:dyDescent="0.2">
      <c r="B27" t="s">
        <v>114</v>
      </c>
      <c r="C27" s="12">
        <v>137</v>
      </c>
      <c r="D27" s="8">
        <v>5.41</v>
      </c>
      <c r="E27" s="12">
        <v>69</v>
      </c>
      <c r="F27" s="8">
        <v>8.67</v>
      </c>
      <c r="G27" s="12">
        <v>61</v>
      </c>
      <c r="H27" s="8">
        <v>3.54</v>
      </c>
      <c r="I27" s="12">
        <v>0</v>
      </c>
    </row>
    <row r="28" spans="2:9" ht="15" customHeight="1" x14ac:dyDescent="0.2">
      <c r="B28" t="s">
        <v>97</v>
      </c>
      <c r="C28" s="12">
        <v>128</v>
      </c>
      <c r="D28" s="8">
        <v>5.05</v>
      </c>
      <c r="E28" s="12">
        <v>12</v>
      </c>
      <c r="F28" s="8">
        <v>1.51</v>
      </c>
      <c r="G28" s="12">
        <v>116</v>
      </c>
      <c r="H28" s="8">
        <v>6.72</v>
      </c>
      <c r="I28" s="12">
        <v>0</v>
      </c>
    </row>
    <row r="29" spans="2:9" ht="15" customHeight="1" x14ac:dyDescent="0.2">
      <c r="B29" t="s">
        <v>109</v>
      </c>
      <c r="C29" s="12">
        <v>122</v>
      </c>
      <c r="D29" s="8">
        <v>4.82</v>
      </c>
      <c r="E29" s="12">
        <v>48</v>
      </c>
      <c r="F29" s="8">
        <v>6.03</v>
      </c>
      <c r="G29" s="12">
        <v>74</v>
      </c>
      <c r="H29" s="8">
        <v>4.29</v>
      </c>
      <c r="I29" s="12">
        <v>0</v>
      </c>
    </row>
    <row r="30" spans="2:9" ht="15" customHeight="1" x14ac:dyDescent="0.2">
      <c r="B30" t="s">
        <v>115</v>
      </c>
      <c r="C30" s="12">
        <v>110</v>
      </c>
      <c r="D30" s="8">
        <v>4.34</v>
      </c>
      <c r="E30" s="12">
        <v>93</v>
      </c>
      <c r="F30" s="8">
        <v>11.68</v>
      </c>
      <c r="G30" s="12">
        <v>17</v>
      </c>
      <c r="H30" s="8">
        <v>0.99</v>
      </c>
      <c r="I30" s="12">
        <v>0</v>
      </c>
    </row>
    <row r="31" spans="2:9" ht="15" customHeight="1" x14ac:dyDescent="0.2">
      <c r="B31" t="s">
        <v>99</v>
      </c>
      <c r="C31" s="12">
        <v>108</v>
      </c>
      <c r="D31" s="8">
        <v>4.26</v>
      </c>
      <c r="E31" s="12">
        <v>8</v>
      </c>
      <c r="F31" s="8">
        <v>1.01</v>
      </c>
      <c r="G31" s="12">
        <v>100</v>
      </c>
      <c r="H31" s="8">
        <v>5.8</v>
      </c>
      <c r="I31" s="12">
        <v>0</v>
      </c>
    </row>
    <row r="32" spans="2:9" ht="15" customHeight="1" x14ac:dyDescent="0.2">
      <c r="B32" t="s">
        <v>98</v>
      </c>
      <c r="C32" s="12">
        <v>105</v>
      </c>
      <c r="D32" s="8">
        <v>4.1500000000000004</v>
      </c>
      <c r="E32" s="12">
        <v>20</v>
      </c>
      <c r="F32" s="8">
        <v>2.5099999999999998</v>
      </c>
      <c r="G32" s="12">
        <v>84</v>
      </c>
      <c r="H32" s="8">
        <v>4.87</v>
      </c>
      <c r="I32" s="12">
        <v>1</v>
      </c>
    </row>
    <row r="33" spans="2:9" ht="15" customHeight="1" x14ac:dyDescent="0.2">
      <c r="B33" t="s">
        <v>106</v>
      </c>
      <c r="C33" s="12">
        <v>93</v>
      </c>
      <c r="D33" s="8">
        <v>3.67</v>
      </c>
      <c r="E33" s="12">
        <v>37</v>
      </c>
      <c r="F33" s="8">
        <v>4.6500000000000004</v>
      </c>
      <c r="G33" s="12">
        <v>56</v>
      </c>
      <c r="H33" s="8">
        <v>3.25</v>
      </c>
      <c r="I33" s="12">
        <v>0</v>
      </c>
    </row>
    <row r="34" spans="2:9" ht="15" customHeight="1" x14ac:dyDescent="0.2">
      <c r="B34" t="s">
        <v>110</v>
      </c>
      <c r="C34" s="12">
        <v>89</v>
      </c>
      <c r="D34" s="8">
        <v>3.51</v>
      </c>
      <c r="E34" s="12">
        <v>15</v>
      </c>
      <c r="F34" s="8">
        <v>1.88</v>
      </c>
      <c r="G34" s="12">
        <v>72</v>
      </c>
      <c r="H34" s="8">
        <v>4.17</v>
      </c>
      <c r="I34" s="12">
        <v>1</v>
      </c>
    </row>
    <row r="35" spans="2:9" ht="15" customHeight="1" x14ac:dyDescent="0.2">
      <c r="B35" t="s">
        <v>107</v>
      </c>
      <c r="C35" s="12">
        <v>67</v>
      </c>
      <c r="D35" s="8">
        <v>2.65</v>
      </c>
      <c r="E35" s="12">
        <v>1</v>
      </c>
      <c r="F35" s="8">
        <v>0.13</v>
      </c>
      <c r="G35" s="12">
        <v>66</v>
      </c>
      <c r="H35" s="8">
        <v>3.83</v>
      </c>
      <c r="I35" s="12">
        <v>0</v>
      </c>
    </row>
    <row r="36" spans="2:9" ht="15" customHeight="1" x14ac:dyDescent="0.2">
      <c r="B36" t="s">
        <v>104</v>
      </c>
      <c r="C36" s="12">
        <v>59</v>
      </c>
      <c r="D36" s="8">
        <v>2.33</v>
      </c>
      <c r="E36" s="12">
        <v>27</v>
      </c>
      <c r="F36" s="8">
        <v>3.39</v>
      </c>
      <c r="G36" s="12">
        <v>32</v>
      </c>
      <c r="H36" s="8">
        <v>1.86</v>
      </c>
      <c r="I36" s="12">
        <v>0</v>
      </c>
    </row>
    <row r="37" spans="2:9" ht="15" customHeight="1" x14ac:dyDescent="0.2">
      <c r="B37" t="s">
        <v>102</v>
      </c>
      <c r="C37" s="12">
        <v>46</v>
      </c>
      <c r="D37" s="8">
        <v>1.82</v>
      </c>
      <c r="E37" s="12">
        <v>1</v>
      </c>
      <c r="F37" s="8">
        <v>0.13</v>
      </c>
      <c r="G37" s="12">
        <v>45</v>
      </c>
      <c r="H37" s="8">
        <v>2.61</v>
      </c>
      <c r="I37" s="12">
        <v>0</v>
      </c>
    </row>
    <row r="38" spans="2:9" ht="15" customHeight="1" x14ac:dyDescent="0.2">
      <c r="B38" t="s">
        <v>113</v>
      </c>
      <c r="C38" s="12">
        <v>46</v>
      </c>
      <c r="D38" s="8">
        <v>1.82</v>
      </c>
      <c r="E38" s="12">
        <v>14</v>
      </c>
      <c r="F38" s="8">
        <v>1.76</v>
      </c>
      <c r="G38" s="12">
        <v>32</v>
      </c>
      <c r="H38" s="8">
        <v>1.86</v>
      </c>
      <c r="I38" s="12">
        <v>0</v>
      </c>
    </row>
    <row r="39" spans="2:9" ht="15" customHeight="1" x14ac:dyDescent="0.2">
      <c r="B39" t="s">
        <v>117</v>
      </c>
      <c r="C39" s="12">
        <v>45</v>
      </c>
      <c r="D39" s="8">
        <v>1.78</v>
      </c>
      <c r="E39" s="12">
        <v>4</v>
      </c>
      <c r="F39" s="8">
        <v>0.5</v>
      </c>
      <c r="G39" s="12">
        <v>40</v>
      </c>
      <c r="H39" s="8">
        <v>2.3199999999999998</v>
      </c>
      <c r="I39" s="12">
        <v>1</v>
      </c>
    </row>
    <row r="40" spans="2:9" ht="15" customHeight="1" x14ac:dyDescent="0.2">
      <c r="B40" t="s">
        <v>118</v>
      </c>
      <c r="C40" s="12">
        <v>45</v>
      </c>
      <c r="D40" s="8">
        <v>1.78</v>
      </c>
      <c r="E40" s="12">
        <v>2</v>
      </c>
      <c r="F40" s="8">
        <v>0.25</v>
      </c>
      <c r="G40" s="12">
        <v>43</v>
      </c>
      <c r="H40" s="8">
        <v>2.4900000000000002</v>
      </c>
      <c r="I40" s="12">
        <v>0</v>
      </c>
    </row>
    <row r="41" spans="2:9" ht="15" customHeight="1" x14ac:dyDescent="0.2">
      <c r="B41" t="s">
        <v>119</v>
      </c>
      <c r="C41" s="12">
        <v>44</v>
      </c>
      <c r="D41" s="8">
        <v>1.74</v>
      </c>
      <c r="E41" s="12">
        <v>3</v>
      </c>
      <c r="F41" s="8">
        <v>0.38</v>
      </c>
      <c r="G41" s="12">
        <v>41</v>
      </c>
      <c r="H41" s="8">
        <v>2.38</v>
      </c>
      <c r="I41" s="12">
        <v>0</v>
      </c>
    </row>
    <row r="42" spans="2:9" ht="15" customHeight="1" x14ac:dyDescent="0.2">
      <c r="B42" t="s">
        <v>123</v>
      </c>
      <c r="C42" s="12">
        <v>42</v>
      </c>
      <c r="D42" s="8">
        <v>1.66</v>
      </c>
      <c r="E42" s="12">
        <v>2</v>
      </c>
      <c r="F42" s="8">
        <v>0.25</v>
      </c>
      <c r="G42" s="12">
        <v>40</v>
      </c>
      <c r="H42" s="8">
        <v>2.3199999999999998</v>
      </c>
      <c r="I42" s="12">
        <v>0</v>
      </c>
    </row>
    <row r="43" spans="2:9" ht="15" customHeight="1" x14ac:dyDescent="0.2">
      <c r="B43" t="s">
        <v>100</v>
      </c>
      <c r="C43" s="12">
        <v>40</v>
      </c>
      <c r="D43" s="8">
        <v>1.58</v>
      </c>
      <c r="E43" s="12">
        <v>5</v>
      </c>
      <c r="F43" s="8">
        <v>0.63</v>
      </c>
      <c r="G43" s="12">
        <v>35</v>
      </c>
      <c r="H43" s="8">
        <v>2.0299999999999998</v>
      </c>
      <c r="I43" s="12">
        <v>0</v>
      </c>
    </row>
    <row r="44" spans="2:9" ht="15" customHeight="1" x14ac:dyDescent="0.2">
      <c r="B44" t="s">
        <v>105</v>
      </c>
      <c r="C44" s="12">
        <v>40</v>
      </c>
      <c r="D44" s="8">
        <v>1.58</v>
      </c>
      <c r="E44" s="12">
        <v>14</v>
      </c>
      <c r="F44" s="8">
        <v>1.76</v>
      </c>
      <c r="G44" s="12">
        <v>26</v>
      </c>
      <c r="H44" s="8">
        <v>1.51</v>
      </c>
      <c r="I44" s="12">
        <v>0</v>
      </c>
    </row>
    <row r="47" spans="2:9" ht="33" customHeight="1" x14ac:dyDescent="0.2">
      <c r="B47" t="s">
        <v>271</v>
      </c>
      <c r="C47" s="10" t="s">
        <v>90</v>
      </c>
      <c r="D47" s="10" t="s">
        <v>91</v>
      </c>
      <c r="E47" s="10" t="s">
        <v>92</v>
      </c>
      <c r="F47" s="10" t="s">
        <v>93</v>
      </c>
      <c r="G47" s="10" t="s">
        <v>94</v>
      </c>
      <c r="H47" s="10" t="s">
        <v>95</v>
      </c>
      <c r="I47" s="10" t="s">
        <v>96</v>
      </c>
    </row>
    <row r="48" spans="2:9" ht="15" customHeight="1" x14ac:dyDescent="0.2">
      <c r="B48" t="s">
        <v>167</v>
      </c>
      <c r="C48" s="12">
        <v>175</v>
      </c>
      <c r="D48" s="8">
        <v>6.91</v>
      </c>
      <c r="E48" s="12">
        <v>45</v>
      </c>
      <c r="F48" s="8">
        <v>5.65</v>
      </c>
      <c r="G48" s="12">
        <v>130</v>
      </c>
      <c r="H48" s="8">
        <v>7.54</v>
      </c>
      <c r="I48" s="12">
        <v>0</v>
      </c>
    </row>
    <row r="49" spans="2:9" ht="15" customHeight="1" x14ac:dyDescent="0.2">
      <c r="B49" t="s">
        <v>173</v>
      </c>
      <c r="C49" s="12">
        <v>115</v>
      </c>
      <c r="D49" s="8">
        <v>4.54</v>
      </c>
      <c r="E49" s="12">
        <v>85</v>
      </c>
      <c r="F49" s="8">
        <v>10.68</v>
      </c>
      <c r="G49" s="12">
        <v>30</v>
      </c>
      <c r="H49" s="8">
        <v>1.74</v>
      </c>
      <c r="I49" s="12">
        <v>0</v>
      </c>
    </row>
    <row r="50" spans="2:9" ht="15" customHeight="1" x14ac:dyDescent="0.2">
      <c r="B50" t="s">
        <v>168</v>
      </c>
      <c r="C50" s="12">
        <v>95</v>
      </c>
      <c r="D50" s="8">
        <v>3.75</v>
      </c>
      <c r="E50" s="12">
        <v>1</v>
      </c>
      <c r="F50" s="8">
        <v>0.13</v>
      </c>
      <c r="G50" s="12">
        <v>94</v>
      </c>
      <c r="H50" s="8">
        <v>5.45</v>
      </c>
      <c r="I50" s="12">
        <v>0</v>
      </c>
    </row>
    <row r="51" spans="2:9" ht="15" customHeight="1" x14ac:dyDescent="0.2">
      <c r="B51" t="s">
        <v>175</v>
      </c>
      <c r="C51" s="12">
        <v>85</v>
      </c>
      <c r="D51" s="8">
        <v>3.36</v>
      </c>
      <c r="E51" s="12">
        <v>74</v>
      </c>
      <c r="F51" s="8">
        <v>9.3000000000000007</v>
      </c>
      <c r="G51" s="12">
        <v>11</v>
      </c>
      <c r="H51" s="8">
        <v>0.64</v>
      </c>
      <c r="I51" s="12">
        <v>0</v>
      </c>
    </row>
    <row r="52" spans="2:9" ht="15" customHeight="1" x14ac:dyDescent="0.2">
      <c r="B52" t="s">
        <v>174</v>
      </c>
      <c r="C52" s="12">
        <v>79</v>
      </c>
      <c r="D52" s="8">
        <v>3.12</v>
      </c>
      <c r="E52" s="12">
        <v>53</v>
      </c>
      <c r="F52" s="8">
        <v>6.66</v>
      </c>
      <c r="G52" s="12">
        <v>26</v>
      </c>
      <c r="H52" s="8">
        <v>1.51</v>
      </c>
      <c r="I52" s="12">
        <v>0</v>
      </c>
    </row>
    <row r="53" spans="2:9" ht="15" customHeight="1" x14ac:dyDescent="0.2">
      <c r="B53" t="s">
        <v>166</v>
      </c>
      <c r="C53" s="12">
        <v>71</v>
      </c>
      <c r="D53" s="8">
        <v>2.8</v>
      </c>
      <c r="E53" s="12">
        <v>3</v>
      </c>
      <c r="F53" s="8">
        <v>0.38</v>
      </c>
      <c r="G53" s="12">
        <v>68</v>
      </c>
      <c r="H53" s="8">
        <v>3.94</v>
      </c>
      <c r="I53" s="12">
        <v>0</v>
      </c>
    </row>
    <row r="54" spans="2:9" ht="15" customHeight="1" x14ac:dyDescent="0.2">
      <c r="B54" t="s">
        <v>178</v>
      </c>
      <c r="C54" s="12">
        <v>61</v>
      </c>
      <c r="D54" s="8">
        <v>2.41</v>
      </c>
      <c r="E54" s="12">
        <v>11</v>
      </c>
      <c r="F54" s="8">
        <v>1.38</v>
      </c>
      <c r="G54" s="12">
        <v>49</v>
      </c>
      <c r="H54" s="8">
        <v>2.84</v>
      </c>
      <c r="I54" s="12">
        <v>0</v>
      </c>
    </row>
    <row r="55" spans="2:9" ht="15" customHeight="1" x14ac:dyDescent="0.2">
      <c r="B55" t="s">
        <v>172</v>
      </c>
      <c r="C55" s="12">
        <v>57</v>
      </c>
      <c r="D55" s="8">
        <v>2.25</v>
      </c>
      <c r="E55" s="12">
        <v>54</v>
      </c>
      <c r="F55" s="8">
        <v>6.78</v>
      </c>
      <c r="G55" s="12">
        <v>3</v>
      </c>
      <c r="H55" s="8">
        <v>0.17</v>
      </c>
      <c r="I55" s="12">
        <v>0</v>
      </c>
    </row>
    <row r="56" spans="2:9" ht="15" customHeight="1" x14ac:dyDescent="0.2">
      <c r="B56" t="s">
        <v>165</v>
      </c>
      <c r="C56" s="12">
        <v>55</v>
      </c>
      <c r="D56" s="8">
        <v>2.17</v>
      </c>
      <c r="E56" s="12">
        <v>1</v>
      </c>
      <c r="F56" s="8">
        <v>0.13</v>
      </c>
      <c r="G56" s="12">
        <v>54</v>
      </c>
      <c r="H56" s="8">
        <v>3.13</v>
      </c>
      <c r="I56" s="12">
        <v>0</v>
      </c>
    </row>
    <row r="57" spans="2:9" ht="15" customHeight="1" x14ac:dyDescent="0.2">
      <c r="B57" t="s">
        <v>170</v>
      </c>
      <c r="C57" s="12">
        <v>49</v>
      </c>
      <c r="D57" s="8">
        <v>1.93</v>
      </c>
      <c r="E57" s="12">
        <v>43</v>
      </c>
      <c r="F57" s="8">
        <v>5.4</v>
      </c>
      <c r="G57" s="12">
        <v>6</v>
      </c>
      <c r="H57" s="8">
        <v>0.35</v>
      </c>
      <c r="I57" s="12">
        <v>0</v>
      </c>
    </row>
    <row r="58" spans="2:9" ht="15" customHeight="1" x14ac:dyDescent="0.2">
      <c r="B58" t="s">
        <v>169</v>
      </c>
      <c r="C58" s="12">
        <v>46</v>
      </c>
      <c r="D58" s="8">
        <v>1.82</v>
      </c>
      <c r="E58" s="12">
        <v>31</v>
      </c>
      <c r="F58" s="8">
        <v>3.89</v>
      </c>
      <c r="G58" s="12">
        <v>15</v>
      </c>
      <c r="H58" s="8">
        <v>0.87</v>
      </c>
      <c r="I58" s="12">
        <v>0</v>
      </c>
    </row>
    <row r="59" spans="2:9" ht="15" customHeight="1" x14ac:dyDescent="0.2">
      <c r="B59" t="s">
        <v>171</v>
      </c>
      <c r="C59" s="12">
        <v>45</v>
      </c>
      <c r="D59" s="8">
        <v>1.78</v>
      </c>
      <c r="E59" s="12">
        <v>24</v>
      </c>
      <c r="F59" s="8">
        <v>3.02</v>
      </c>
      <c r="G59" s="12">
        <v>21</v>
      </c>
      <c r="H59" s="8">
        <v>1.22</v>
      </c>
      <c r="I59" s="12">
        <v>0</v>
      </c>
    </row>
    <row r="60" spans="2:9" ht="15" customHeight="1" x14ac:dyDescent="0.2">
      <c r="B60" t="s">
        <v>158</v>
      </c>
      <c r="C60" s="12">
        <v>44</v>
      </c>
      <c r="D60" s="8">
        <v>1.74</v>
      </c>
      <c r="E60" s="12">
        <v>4</v>
      </c>
      <c r="F60" s="8">
        <v>0.5</v>
      </c>
      <c r="G60" s="12">
        <v>40</v>
      </c>
      <c r="H60" s="8">
        <v>2.3199999999999998</v>
      </c>
      <c r="I60" s="12">
        <v>0</v>
      </c>
    </row>
    <row r="61" spans="2:9" ht="15" customHeight="1" x14ac:dyDescent="0.2">
      <c r="B61" t="s">
        <v>179</v>
      </c>
      <c r="C61" s="12">
        <v>42</v>
      </c>
      <c r="D61" s="8">
        <v>1.66</v>
      </c>
      <c r="E61" s="12">
        <v>16</v>
      </c>
      <c r="F61" s="8">
        <v>2.0099999999999998</v>
      </c>
      <c r="G61" s="12">
        <v>26</v>
      </c>
      <c r="H61" s="8">
        <v>1.51</v>
      </c>
      <c r="I61" s="12">
        <v>0</v>
      </c>
    </row>
    <row r="62" spans="2:9" ht="15" customHeight="1" x14ac:dyDescent="0.2">
      <c r="B62" t="s">
        <v>177</v>
      </c>
      <c r="C62" s="12">
        <v>41</v>
      </c>
      <c r="D62" s="8">
        <v>1.62</v>
      </c>
      <c r="E62" s="12">
        <v>5</v>
      </c>
      <c r="F62" s="8">
        <v>0.63</v>
      </c>
      <c r="G62" s="12">
        <v>36</v>
      </c>
      <c r="H62" s="8">
        <v>2.09</v>
      </c>
      <c r="I62" s="12">
        <v>0</v>
      </c>
    </row>
    <row r="63" spans="2:9" ht="15" customHeight="1" x14ac:dyDescent="0.2">
      <c r="B63" t="s">
        <v>160</v>
      </c>
      <c r="C63" s="12">
        <v>41</v>
      </c>
      <c r="D63" s="8">
        <v>1.62</v>
      </c>
      <c r="E63" s="12">
        <v>6</v>
      </c>
      <c r="F63" s="8">
        <v>0.75</v>
      </c>
      <c r="G63" s="12">
        <v>35</v>
      </c>
      <c r="H63" s="8">
        <v>2.0299999999999998</v>
      </c>
      <c r="I63" s="12">
        <v>0</v>
      </c>
    </row>
    <row r="64" spans="2:9" ht="15" customHeight="1" x14ac:dyDescent="0.2">
      <c r="B64" t="s">
        <v>199</v>
      </c>
      <c r="C64" s="12">
        <v>38</v>
      </c>
      <c r="D64" s="8">
        <v>1.5</v>
      </c>
      <c r="E64" s="12">
        <v>2</v>
      </c>
      <c r="F64" s="8">
        <v>0.25</v>
      </c>
      <c r="G64" s="12">
        <v>36</v>
      </c>
      <c r="H64" s="8">
        <v>2.09</v>
      </c>
      <c r="I64" s="12">
        <v>0</v>
      </c>
    </row>
    <row r="65" spans="2:9" ht="15" customHeight="1" x14ac:dyDescent="0.2">
      <c r="B65" t="s">
        <v>193</v>
      </c>
      <c r="C65" s="12">
        <v>37</v>
      </c>
      <c r="D65" s="8">
        <v>1.46</v>
      </c>
      <c r="E65" s="12">
        <v>1</v>
      </c>
      <c r="F65" s="8">
        <v>0.13</v>
      </c>
      <c r="G65" s="12">
        <v>36</v>
      </c>
      <c r="H65" s="8">
        <v>2.09</v>
      </c>
      <c r="I65" s="12">
        <v>0</v>
      </c>
    </row>
    <row r="66" spans="2:9" ht="15" customHeight="1" x14ac:dyDescent="0.2">
      <c r="B66" t="s">
        <v>161</v>
      </c>
      <c r="C66" s="12">
        <v>33</v>
      </c>
      <c r="D66" s="8">
        <v>1.3</v>
      </c>
      <c r="E66" s="12">
        <v>2</v>
      </c>
      <c r="F66" s="8">
        <v>0.25</v>
      </c>
      <c r="G66" s="12">
        <v>31</v>
      </c>
      <c r="H66" s="8">
        <v>1.8</v>
      </c>
      <c r="I66" s="12">
        <v>0</v>
      </c>
    </row>
    <row r="67" spans="2:9" ht="15" customHeight="1" x14ac:dyDescent="0.2">
      <c r="B67" t="s">
        <v>197</v>
      </c>
      <c r="C67" s="12">
        <v>31</v>
      </c>
      <c r="D67" s="8">
        <v>1.22</v>
      </c>
      <c r="E67" s="12">
        <v>4</v>
      </c>
      <c r="F67" s="8">
        <v>0.5</v>
      </c>
      <c r="G67" s="12">
        <v>27</v>
      </c>
      <c r="H67" s="8">
        <v>1.57</v>
      </c>
      <c r="I67" s="12">
        <v>0</v>
      </c>
    </row>
    <row r="69" spans="2:9" ht="15" customHeight="1" x14ac:dyDescent="0.2">
      <c r="B69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BE8FB-41D1-4ABE-9A76-07A3B4069DCA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282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297</v>
      </c>
      <c r="D6" s="8">
        <v>19.05</v>
      </c>
      <c r="E6" s="12">
        <v>48</v>
      </c>
      <c r="F6" s="8">
        <v>9.82</v>
      </c>
      <c r="G6" s="12">
        <v>249</v>
      </c>
      <c r="H6" s="8">
        <v>23.36</v>
      </c>
      <c r="I6" s="12">
        <v>0</v>
      </c>
    </row>
    <row r="7" spans="2:9" ht="15" customHeight="1" x14ac:dyDescent="0.2">
      <c r="B7" t="s">
        <v>76</v>
      </c>
      <c r="C7" s="12">
        <v>159</v>
      </c>
      <c r="D7" s="8">
        <v>10.199999999999999</v>
      </c>
      <c r="E7" s="12">
        <v>44</v>
      </c>
      <c r="F7" s="8">
        <v>9</v>
      </c>
      <c r="G7" s="12">
        <v>115</v>
      </c>
      <c r="H7" s="8">
        <v>10.79</v>
      </c>
      <c r="I7" s="12">
        <v>0</v>
      </c>
    </row>
    <row r="8" spans="2:9" ht="15" customHeight="1" x14ac:dyDescent="0.2">
      <c r="B8" t="s">
        <v>77</v>
      </c>
      <c r="C8" s="12">
        <v>2</v>
      </c>
      <c r="D8" s="8">
        <v>0.13</v>
      </c>
      <c r="E8" s="12">
        <v>0</v>
      </c>
      <c r="F8" s="8">
        <v>0</v>
      </c>
      <c r="G8" s="12">
        <v>2</v>
      </c>
      <c r="H8" s="8">
        <v>0.19</v>
      </c>
      <c r="I8" s="12">
        <v>0</v>
      </c>
    </row>
    <row r="9" spans="2:9" ht="15" customHeight="1" x14ac:dyDescent="0.2">
      <c r="B9" t="s">
        <v>78</v>
      </c>
      <c r="C9" s="12">
        <v>24</v>
      </c>
      <c r="D9" s="8">
        <v>1.54</v>
      </c>
      <c r="E9" s="12">
        <v>0</v>
      </c>
      <c r="F9" s="8">
        <v>0</v>
      </c>
      <c r="G9" s="12">
        <v>24</v>
      </c>
      <c r="H9" s="8">
        <v>2.25</v>
      </c>
      <c r="I9" s="12">
        <v>0</v>
      </c>
    </row>
    <row r="10" spans="2:9" ht="15" customHeight="1" x14ac:dyDescent="0.2">
      <c r="B10" t="s">
        <v>79</v>
      </c>
      <c r="C10" s="12">
        <v>13</v>
      </c>
      <c r="D10" s="8">
        <v>0.83</v>
      </c>
      <c r="E10" s="12">
        <v>1</v>
      </c>
      <c r="F10" s="8">
        <v>0.2</v>
      </c>
      <c r="G10" s="12">
        <v>12</v>
      </c>
      <c r="H10" s="8">
        <v>1.1299999999999999</v>
      </c>
      <c r="I10" s="12">
        <v>0</v>
      </c>
    </row>
    <row r="11" spans="2:9" ht="15" customHeight="1" x14ac:dyDescent="0.2">
      <c r="B11" t="s">
        <v>80</v>
      </c>
      <c r="C11" s="12">
        <v>295</v>
      </c>
      <c r="D11" s="8">
        <v>18.920000000000002</v>
      </c>
      <c r="E11" s="12">
        <v>67</v>
      </c>
      <c r="F11" s="8">
        <v>13.7</v>
      </c>
      <c r="G11" s="12">
        <v>228</v>
      </c>
      <c r="H11" s="8">
        <v>21.39</v>
      </c>
      <c r="I11" s="12">
        <v>0</v>
      </c>
    </row>
    <row r="12" spans="2:9" ht="15" customHeight="1" x14ac:dyDescent="0.2">
      <c r="B12" t="s">
        <v>81</v>
      </c>
      <c r="C12" s="12">
        <v>12</v>
      </c>
      <c r="D12" s="8">
        <v>0.77</v>
      </c>
      <c r="E12" s="12">
        <v>2</v>
      </c>
      <c r="F12" s="8">
        <v>0.41</v>
      </c>
      <c r="G12" s="12">
        <v>10</v>
      </c>
      <c r="H12" s="8">
        <v>0.94</v>
      </c>
      <c r="I12" s="12">
        <v>0</v>
      </c>
    </row>
    <row r="13" spans="2:9" ht="15" customHeight="1" x14ac:dyDescent="0.2">
      <c r="B13" t="s">
        <v>82</v>
      </c>
      <c r="C13" s="12">
        <v>193</v>
      </c>
      <c r="D13" s="8">
        <v>12.38</v>
      </c>
      <c r="E13" s="12">
        <v>28</v>
      </c>
      <c r="F13" s="8">
        <v>5.73</v>
      </c>
      <c r="G13" s="12">
        <v>165</v>
      </c>
      <c r="H13" s="8">
        <v>15.48</v>
      </c>
      <c r="I13" s="12">
        <v>0</v>
      </c>
    </row>
    <row r="14" spans="2:9" ht="15" customHeight="1" x14ac:dyDescent="0.2">
      <c r="B14" t="s">
        <v>83</v>
      </c>
      <c r="C14" s="12">
        <v>103</v>
      </c>
      <c r="D14" s="8">
        <v>6.61</v>
      </c>
      <c r="E14" s="12">
        <v>32</v>
      </c>
      <c r="F14" s="8">
        <v>6.54</v>
      </c>
      <c r="G14" s="12">
        <v>71</v>
      </c>
      <c r="H14" s="8">
        <v>6.66</v>
      </c>
      <c r="I14" s="12">
        <v>0</v>
      </c>
    </row>
    <row r="15" spans="2:9" ht="15" customHeight="1" x14ac:dyDescent="0.2">
      <c r="B15" t="s">
        <v>84</v>
      </c>
      <c r="C15" s="12">
        <v>93</v>
      </c>
      <c r="D15" s="8">
        <v>5.97</v>
      </c>
      <c r="E15" s="12">
        <v>68</v>
      </c>
      <c r="F15" s="8">
        <v>13.91</v>
      </c>
      <c r="G15" s="12">
        <v>25</v>
      </c>
      <c r="H15" s="8">
        <v>2.35</v>
      </c>
      <c r="I15" s="12">
        <v>0</v>
      </c>
    </row>
    <row r="16" spans="2:9" ht="15" customHeight="1" x14ac:dyDescent="0.2">
      <c r="B16" t="s">
        <v>85</v>
      </c>
      <c r="C16" s="12">
        <v>158</v>
      </c>
      <c r="D16" s="8">
        <v>10.130000000000001</v>
      </c>
      <c r="E16" s="12">
        <v>94</v>
      </c>
      <c r="F16" s="8">
        <v>19.22</v>
      </c>
      <c r="G16" s="12">
        <v>64</v>
      </c>
      <c r="H16" s="8">
        <v>6</v>
      </c>
      <c r="I16" s="12">
        <v>0</v>
      </c>
    </row>
    <row r="17" spans="2:9" ht="15" customHeight="1" x14ac:dyDescent="0.2">
      <c r="B17" t="s">
        <v>86</v>
      </c>
      <c r="C17" s="12">
        <v>76</v>
      </c>
      <c r="D17" s="8">
        <v>4.87</v>
      </c>
      <c r="E17" s="12">
        <v>44</v>
      </c>
      <c r="F17" s="8">
        <v>9</v>
      </c>
      <c r="G17" s="12">
        <v>28</v>
      </c>
      <c r="H17" s="8">
        <v>2.63</v>
      </c>
      <c r="I17" s="12">
        <v>0</v>
      </c>
    </row>
    <row r="18" spans="2:9" ht="15" customHeight="1" x14ac:dyDescent="0.2">
      <c r="B18" t="s">
        <v>87</v>
      </c>
      <c r="C18" s="12">
        <v>87</v>
      </c>
      <c r="D18" s="8">
        <v>5.58</v>
      </c>
      <c r="E18" s="12">
        <v>48</v>
      </c>
      <c r="F18" s="8">
        <v>9.82</v>
      </c>
      <c r="G18" s="12">
        <v>39</v>
      </c>
      <c r="H18" s="8">
        <v>3.66</v>
      </c>
      <c r="I18" s="12">
        <v>0</v>
      </c>
    </row>
    <row r="19" spans="2:9" ht="15" customHeight="1" x14ac:dyDescent="0.2">
      <c r="B19" t="s">
        <v>88</v>
      </c>
      <c r="C19" s="12">
        <v>47</v>
      </c>
      <c r="D19" s="8">
        <v>3.01</v>
      </c>
      <c r="E19" s="12">
        <v>13</v>
      </c>
      <c r="F19" s="8">
        <v>2.66</v>
      </c>
      <c r="G19" s="12">
        <v>34</v>
      </c>
      <c r="H19" s="8">
        <v>3.19</v>
      </c>
      <c r="I19" s="12">
        <v>0</v>
      </c>
    </row>
    <row r="20" spans="2:9" ht="15" customHeight="1" x14ac:dyDescent="0.2">
      <c r="B20" s="9" t="s">
        <v>269</v>
      </c>
      <c r="C20" s="12">
        <f>SUM(LTBL_11109[総数／事業所数])</f>
        <v>1559</v>
      </c>
      <c r="E20" s="12">
        <f>SUBTOTAL(109,LTBL_11109[個人／事業所数])</f>
        <v>489</v>
      </c>
      <c r="G20" s="12">
        <f>SUBTOTAL(109,LTBL_11109[法人／事業所数])</f>
        <v>1066</v>
      </c>
      <c r="I20" s="12">
        <f>SUBTOTAL(109,LTBL_11109[法人以外の団体／事業所数])</f>
        <v>0</v>
      </c>
    </row>
    <row r="21" spans="2:9" ht="15" customHeight="1" x14ac:dyDescent="0.2">
      <c r="E21" s="11">
        <f>LTBL_11109[[#Totals],[個人／事業所数]]/LTBL_11109[[#Totals],[総数／事業所数]]</f>
        <v>0.31366260423348302</v>
      </c>
      <c r="G21" s="11">
        <f>LTBL_11109[[#Totals],[法人／事業所数]]/LTBL_11109[[#Totals],[総数／事業所数]]</f>
        <v>0.68377164849262351</v>
      </c>
      <c r="I21" s="11">
        <f>LTBL_11109[[#Totals],[法人以外の団体／事業所数]]/LTBL_11109[[#Totals],[総数／事業所数]]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108</v>
      </c>
      <c r="C24" s="12">
        <v>140</v>
      </c>
      <c r="D24" s="8">
        <v>8.98</v>
      </c>
      <c r="E24" s="12">
        <v>24</v>
      </c>
      <c r="F24" s="8">
        <v>4.91</v>
      </c>
      <c r="G24" s="12">
        <v>116</v>
      </c>
      <c r="H24" s="8">
        <v>10.88</v>
      </c>
      <c r="I24" s="12">
        <v>0</v>
      </c>
    </row>
    <row r="25" spans="2:9" ht="15" customHeight="1" x14ac:dyDescent="0.2">
      <c r="B25" t="s">
        <v>112</v>
      </c>
      <c r="C25" s="12">
        <v>122</v>
      </c>
      <c r="D25" s="8">
        <v>7.83</v>
      </c>
      <c r="E25" s="12">
        <v>85</v>
      </c>
      <c r="F25" s="8">
        <v>17.38</v>
      </c>
      <c r="G25" s="12">
        <v>37</v>
      </c>
      <c r="H25" s="8">
        <v>3.47</v>
      </c>
      <c r="I25" s="12">
        <v>0</v>
      </c>
    </row>
    <row r="26" spans="2:9" ht="15" customHeight="1" x14ac:dyDescent="0.2">
      <c r="B26" t="s">
        <v>97</v>
      </c>
      <c r="C26" s="12">
        <v>114</v>
      </c>
      <c r="D26" s="8">
        <v>7.31</v>
      </c>
      <c r="E26" s="12">
        <v>18</v>
      </c>
      <c r="F26" s="8">
        <v>3.68</v>
      </c>
      <c r="G26" s="12">
        <v>96</v>
      </c>
      <c r="H26" s="8">
        <v>9.01</v>
      </c>
      <c r="I26" s="12">
        <v>0</v>
      </c>
    </row>
    <row r="27" spans="2:9" ht="15" customHeight="1" x14ac:dyDescent="0.2">
      <c r="B27" t="s">
        <v>98</v>
      </c>
      <c r="C27" s="12">
        <v>103</v>
      </c>
      <c r="D27" s="8">
        <v>6.61</v>
      </c>
      <c r="E27" s="12">
        <v>20</v>
      </c>
      <c r="F27" s="8">
        <v>4.09</v>
      </c>
      <c r="G27" s="12">
        <v>83</v>
      </c>
      <c r="H27" s="8">
        <v>7.79</v>
      </c>
      <c r="I27" s="12">
        <v>0</v>
      </c>
    </row>
    <row r="28" spans="2:9" ht="15" customHeight="1" x14ac:dyDescent="0.2">
      <c r="B28" t="s">
        <v>99</v>
      </c>
      <c r="C28" s="12">
        <v>80</v>
      </c>
      <c r="D28" s="8">
        <v>5.13</v>
      </c>
      <c r="E28" s="12">
        <v>10</v>
      </c>
      <c r="F28" s="8">
        <v>2.04</v>
      </c>
      <c r="G28" s="12">
        <v>70</v>
      </c>
      <c r="H28" s="8">
        <v>6.57</v>
      </c>
      <c r="I28" s="12">
        <v>0</v>
      </c>
    </row>
    <row r="29" spans="2:9" ht="15" customHeight="1" x14ac:dyDescent="0.2">
      <c r="B29" t="s">
        <v>111</v>
      </c>
      <c r="C29" s="12">
        <v>80</v>
      </c>
      <c r="D29" s="8">
        <v>5.13</v>
      </c>
      <c r="E29" s="12">
        <v>66</v>
      </c>
      <c r="F29" s="8">
        <v>13.5</v>
      </c>
      <c r="G29" s="12">
        <v>14</v>
      </c>
      <c r="H29" s="8">
        <v>1.31</v>
      </c>
      <c r="I29" s="12">
        <v>0</v>
      </c>
    </row>
    <row r="30" spans="2:9" ht="15" customHeight="1" x14ac:dyDescent="0.2">
      <c r="B30" t="s">
        <v>114</v>
      </c>
      <c r="C30" s="12">
        <v>76</v>
      </c>
      <c r="D30" s="8">
        <v>4.87</v>
      </c>
      <c r="E30" s="12">
        <v>44</v>
      </c>
      <c r="F30" s="8">
        <v>9</v>
      </c>
      <c r="G30" s="12">
        <v>28</v>
      </c>
      <c r="H30" s="8">
        <v>2.63</v>
      </c>
      <c r="I30" s="12">
        <v>0</v>
      </c>
    </row>
    <row r="31" spans="2:9" ht="15" customHeight="1" x14ac:dyDescent="0.2">
      <c r="B31" t="s">
        <v>106</v>
      </c>
      <c r="C31" s="12">
        <v>73</v>
      </c>
      <c r="D31" s="8">
        <v>4.68</v>
      </c>
      <c r="E31" s="12">
        <v>21</v>
      </c>
      <c r="F31" s="8">
        <v>4.29</v>
      </c>
      <c r="G31" s="12">
        <v>52</v>
      </c>
      <c r="H31" s="8">
        <v>4.88</v>
      </c>
      <c r="I31" s="12">
        <v>0</v>
      </c>
    </row>
    <row r="32" spans="2:9" ht="15" customHeight="1" x14ac:dyDescent="0.2">
      <c r="B32" t="s">
        <v>115</v>
      </c>
      <c r="C32" s="12">
        <v>56</v>
      </c>
      <c r="D32" s="8">
        <v>3.59</v>
      </c>
      <c r="E32" s="12">
        <v>48</v>
      </c>
      <c r="F32" s="8">
        <v>9.82</v>
      </c>
      <c r="G32" s="12">
        <v>8</v>
      </c>
      <c r="H32" s="8">
        <v>0.75</v>
      </c>
      <c r="I32" s="12">
        <v>0</v>
      </c>
    </row>
    <row r="33" spans="2:9" ht="15" customHeight="1" x14ac:dyDescent="0.2">
      <c r="B33" t="s">
        <v>109</v>
      </c>
      <c r="C33" s="12">
        <v>53</v>
      </c>
      <c r="D33" s="8">
        <v>3.4</v>
      </c>
      <c r="E33" s="12">
        <v>22</v>
      </c>
      <c r="F33" s="8">
        <v>4.5</v>
      </c>
      <c r="G33" s="12">
        <v>31</v>
      </c>
      <c r="H33" s="8">
        <v>2.91</v>
      </c>
      <c r="I33" s="12">
        <v>0</v>
      </c>
    </row>
    <row r="34" spans="2:9" ht="15" customHeight="1" x14ac:dyDescent="0.2">
      <c r="B34" t="s">
        <v>107</v>
      </c>
      <c r="C34" s="12">
        <v>47</v>
      </c>
      <c r="D34" s="8">
        <v>3.01</v>
      </c>
      <c r="E34" s="12">
        <v>4</v>
      </c>
      <c r="F34" s="8">
        <v>0.82</v>
      </c>
      <c r="G34" s="12">
        <v>43</v>
      </c>
      <c r="H34" s="8">
        <v>4.03</v>
      </c>
      <c r="I34" s="12">
        <v>0</v>
      </c>
    </row>
    <row r="35" spans="2:9" ht="15" customHeight="1" x14ac:dyDescent="0.2">
      <c r="B35" t="s">
        <v>110</v>
      </c>
      <c r="C35" s="12">
        <v>44</v>
      </c>
      <c r="D35" s="8">
        <v>2.82</v>
      </c>
      <c r="E35" s="12">
        <v>10</v>
      </c>
      <c r="F35" s="8">
        <v>2.04</v>
      </c>
      <c r="G35" s="12">
        <v>34</v>
      </c>
      <c r="H35" s="8">
        <v>3.19</v>
      </c>
      <c r="I35" s="12">
        <v>0</v>
      </c>
    </row>
    <row r="36" spans="2:9" ht="15" customHeight="1" x14ac:dyDescent="0.2">
      <c r="B36" t="s">
        <v>117</v>
      </c>
      <c r="C36" s="12">
        <v>40</v>
      </c>
      <c r="D36" s="8">
        <v>2.57</v>
      </c>
      <c r="E36" s="12">
        <v>4</v>
      </c>
      <c r="F36" s="8">
        <v>0.82</v>
      </c>
      <c r="G36" s="12">
        <v>36</v>
      </c>
      <c r="H36" s="8">
        <v>3.38</v>
      </c>
      <c r="I36" s="12">
        <v>0</v>
      </c>
    </row>
    <row r="37" spans="2:9" ht="15" customHeight="1" x14ac:dyDescent="0.2">
      <c r="B37" t="s">
        <v>105</v>
      </c>
      <c r="C37" s="12">
        <v>38</v>
      </c>
      <c r="D37" s="8">
        <v>2.44</v>
      </c>
      <c r="E37" s="12">
        <v>9</v>
      </c>
      <c r="F37" s="8">
        <v>1.84</v>
      </c>
      <c r="G37" s="12">
        <v>29</v>
      </c>
      <c r="H37" s="8">
        <v>2.72</v>
      </c>
      <c r="I37" s="12">
        <v>0</v>
      </c>
    </row>
    <row r="38" spans="2:9" ht="15" customHeight="1" x14ac:dyDescent="0.2">
      <c r="B38" t="s">
        <v>103</v>
      </c>
      <c r="C38" s="12">
        <v>32</v>
      </c>
      <c r="D38" s="8">
        <v>2.0499999999999998</v>
      </c>
      <c r="E38" s="12">
        <v>6</v>
      </c>
      <c r="F38" s="8">
        <v>1.23</v>
      </c>
      <c r="G38" s="12">
        <v>26</v>
      </c>
      <c r="H38" s="8">
        <v>2.44</v>
      </c>
      <c r="I38" s="12">
        <v>0</v>
      </c>
    </row>
    <row r="39" spans="2:9" ht="15" customHeight="1" x14ac:dyDescent="0.2">
      <c r="B39" t="s">
        <v>104</v>
      </c>
      <c r="C39" s="12">
        <v>31</v>
      </c>
      <c r="D39" s="8">
        <v>1.99</v>
      </c>
      <c r="E39" s="12">
        <v>18</v>
      </c>
      <c r="F39" s="8">
        <v>3.68</v>
      </c>
      <c r="G39" s="12">
        <v>13</v>
      </c>
      <c r="H39" s="8">
        <v>1.22</v>
      </c>
      <c r="I39" s="12">
        <v>0</v>
      </c>
    </row>
    <row r="40" spans="2:9" ht="15" customHeight="1" x14ac:dyDescent="0.2">
      <c r="B40" t="s">
        <v>118</v>
      </c>
      <c r="C40" s="12">
        <v>31</v>
      </c>
      <c r="D40" s="8">
        <v>1.99</v>
      </c>
      <c r="E40" s="12">
        <v>0</v>
      </c>
      <c r="F40" s="8">
        <v>0</v>
      </c>
      <c r="G40" s="12">
        <v>31</v>
      </c>
      <c r="H40" s="8">
        <v>2.91</v>
      </c>
      <c r="I40" s="12">
        <v>0</v>
      </c>
    </row>
    <row r="41" spans="2:9" ht="15" customHeight="1" x14ac:dyDescent="0.2">
      <c r="B41" t="s">
        <v>125</v>
      </c>
      <c r="C41" s="12">
        <v>30</v>
      </c>
      <c r="D41" s="8">
        <v>1.92</v>
      </c>
      <c r="E41" s="12">
        <v>8</v>
      </c>
      <c r="F41" s="8">
        <v>1.64</v>
      </c>
      <c r="G41" s="12">
        <v>22</v>
      </c>
      <c r="H41" s="8">
        <v>2.06</v>
      </c>
      <c r="I41" s="12">
        <v>0</v>
      </c>
    </row>
    <row r="42" spans="2:9" ht="15" customHeight="1" x14ac:dyDescent="0.2">
      <c r="B42" t="s">
        <v>100</v>
      </c>
      <c r="C42" s="12">
        <v>29</v>
      </c>
      <c r="D42" s="8">
        <v>1.86</v>
      </c>
      <c r="E42" s="12">
        <v>9</v>
      </c>
      <c r="F42" s="8">
        <v>1.84</v>
      </c>
      <c r="G42" s="12">
        <v>20</v>
      </c>
      <c r="H42" s="8">
        <v>1.88</v>
      </c>
      <c r="I42" s="12">
        <v>0</v>
      </c>
    </row>
    <row r="43" spans="2:9" ht="15" customHeight="1" x14ac:dyDescent="0.2">
      <c r="B43" t="s">
        <v>113</v>
      </c>
      <c r="C43" s="12">
        <v>29</v>
      </c>
      <c r="D43" s="8">
        <v>1.86</v>
      </c>
      <c r="E43" s="12">
        <v>8</v>
      </c>
      <c r="F43" s="8">
        <v>1.64</v>
      </c>
      <c r="G43" s="12">
        <v>21</v>
      </c>
      <c r="H43" s="8">
        <v>1.97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167</v>
      </c>
      <c r="C47" s="12">
        <v>80</v>
      </c>
      <c r="D47" s="8">
        <v>5.13</v>
      </c>
      <c r="E47" s="12">
        <v>18</v>
      </c>
      <c r="F47" s="8">
        <v>3.68</v>
      </c>
      <c r="G47" s="12">
        <v>62</v>
      </c>
      <c r="H47" s="8">
        <v>5.82</v>
      </c>
      <c r="I47" s="12">
        <v>0</v>
      </c>
    </row>
    <row r="48" spans="2:9" ht="15" customHeight="1" x14ac:dyDescent="0.2">
      <c r="B48" t="s">
        <v>173</v>
      </c>
      <c r="C48" s="12">
        <v>50</v>
      </c>
      <c r="D48" s="8">
        <v>3.21</v>
      </c>
      <c r="E48" s="12">
        <v>37</v>
      </c>
      <c r="F48" s="8">
        <v>7.57</v>
      </c>
      <c r="G48" s="12">
        <v>13</v>
      </c>
      <c r="H48" s="8">
        <v>1.22</v>
      </c>
      <c r="I48" s="12">
        <v>0</v>
      </c>
    </row>
    <row r="49" spans="2:9" ht="15" customHeight="1" x14ac:dyDescent="0.2">
      <c r="B49" t="s">
        <v>174</v>
      </c>
      <c r="C49" s="12">
        <v>45</v>
      </c>
      <c r="D49" s="8">
        <v>2.89</v>
      </c>
      <c r="E49" s="12">
        <v>33</v>
      </c>
      <c r="F49" s="8">
        <v>6.75</v>
      </c>
      <c r="G49" s="12">
        <v>12</v>
      </c>
      <c r="H49" s="8">
        <v>1.1299999999999999</v>
      </c>
      <c r="I49" s="12">
        <v>0</v>
      </c>
    </row>
    <row r="50" spans="2:9" ht="15" customHeight="1" x14ac:dyDescent="0.2">
      <c r="B50" t="s">
        <v>175</v>
      </c>
      <c r="C50" s="12">
        <v>37</v>
      </c>
      <c r="D50" s="8">
        <v>2.37</v>
      </c>
      <c r="E50" s="12">
        <v>34</v>
      </c>
      <c r="F50" s="8">
        <v>6.95</v>
      </c>
      <c r="G50" s="12">
        <v>3</v>
      </c>
      <c r="H50" s="8">
        <v>0.28000000000000003</v>
      </c>
      <c r="I50" s="12">
        <v>0</v>
      </c>
    </row>
    <row r="51" spans="2:9" ht="15" customHeight="1" x14ac:dyDescent="0.2">
      <c r="B51" t="s">
        <v>172</v>
      </c>
      <c r="C51" s="12">
        <v>35</v>
      </c>
      <c r="D51" s="8">
        <v>2.25</v>
      </c>
      <c r="E51" s="12">
        <v>33</v>
      </c>
      <c r="F51" s="8">
        <v>6.75</v>
      </c>
      <c r="G51" s="12">
        <v>2</v>
      </c>
      <c r="H51" s="8">
        <v>0.19</v>
      </c>
      <c r="I51" s="12">
        <v>0</v>
      </c>
    </row>
    <row r="52" spans="2:9" ht="15" customHeight="1" x14ac:dyDescent="0.2">
      <c r="B52" t="s">
        <v>164</v>
      </c>
      <c r="C52" s="12">
        <v>33</v>
      </c>
      <c r="D52" s="8">
        <v>2.12</v>
      </c>
      <c r="E52" s="12">
        <v>12</v>
      </c>
      <c r="F52" s="8">
        <v>2.4500000000000002</v>
      </c>
      <c r="G52" s="12">
        <v>21</v>
      </c>
      <c r="H52" s="8">
        <v>1.97</v>
      </c>
      <c r="I52" s="12">
        <v>0</v>
      </c>
    </row>
    <row r="53" spans="2:9" ht="15" customHeight="1" x14ac:dyDescent="0.2">
      <c r="B53" t="s">
        <v>158</v>
      </c>
      <c r="C53" s="12">
        <v>32</v>
      </c>
      <c r="D53" s="8">
        <v>2.0499999999999998</v>
      </c>
      <c r="E53" s="12">
        <v>3</v>
      </c>
      <c r="F53" s="8">
        <v>0.61</v>
      </c>
      <c r="G53" s="12">
        <v>29</v>
      </c>
      <c r="H53" s="8">
        <v>2.72</v>
      </c>
      <c r="I53" s="12">
        <v>0</v>
      </c>
    </row>
    <row r="54" spans="2:9" ht="15" customHeight="1" x14ac:dyDescent="0.2">
      <c r="B54" t="s">
        <v>165</v>
      </c>
      <c r="C54" s="12">
        <v>32</v>
      </c>
      <c r="D54" s="8">
        <v>2.0499999999999998</v>
      </c>
      <c r="E54" s="12">
        <v>4</v>
      </c>
      <c r="F54" s="8">
        <v>0.82</v>
      </c>
      <c r="G54" s="12">
        <v>28</v>
      </c>
      <c r="H54" s="8">
        <v>2.63</v>
      </c>
      <c r="I54" s="12">
        <v>0</v>
      </c>
    </row>
    <row r="55" spans="2:9" ht="15" customHeight="1" x14ac:dyDescent="0.2">
      <c r="B55" t="s">
        <v>161</v>
      </c>
      <c r="C55" s="12">
        <v>31</v>
      </c>
      <c r="D55" s="8">
        <v>1.99</v>
      </c>
      <c r="E55" s="12">
        <v>5</v>
      </c>
      <c r="F55" s="8">
        <v>1.02</v>
      </c>
      <c r="G55" s="12">
        <v>26</v>
      </c>
      <c r="H55" s="8">
        <v>2.44</v>
      </c>
      <c r="I55" s="12">
        <v>0</v>
      </c>
    </row>
    <row r="56" spans="2:9" ht="15" customHeight="1" x14ac:dyDescent="0.2">
      <c r="B56" t="s">
        <v>166</v>
      </c>
      <c r="C56" s="12">
        <v>30</v>
      </c>
      <c r="D56" s="8">
        <v>1.92</v>
      </c>
      <c r="E56" s="12">
        <v>1</v>
      </c>
      <c r="F56" s="8">
        <v>0.2</v>
      </c>
      <c r="G56" s="12">
        <v>29</v>
      </c>
      <c r="H56" s="8">
        <v>2.72</v>
      </c>
      <c r="I56" s="12">
        <v>0</v>
      </c>
    </row>
    <row r="57" spans="2:9" ht="15" customHeight="1" x14ac:dyDescent="0.2">
      <c r="B57" t="s">
        <v>157</v>
      </c>
      <c r="C57" s="12">
        <v>29</v>
      </c>
      <c r="D57" s="8">
        <v>1.86</v>
      </c>
      <c r="E57" s="12">
        <v>3</v>
      </c>
      <c r="F57" s="8">
        <v>0.61</v>
      </c>
      <c r="G57" s="12">
        <v>26</v>
      </c>
      <c r="H57" s="8">
        <v>2.44</v>
      </c>
      <c r="I57" s="12">
        <v>0</v>
      </c>
    </row>
    <row r="58" spans="2:9" ht="15" customHeight="1" x14ac:dyDescent="0.2">
      <c r="B58" t="s">
        <v>178</v>
      </c>
      <c r="C58" s="12">
        <v>29</v>
      </c>
      <c r="D58" s="8">
        <v>1.86</v>
      </c>
      <c r="E58" s="12">
        <v>4</v>
      </c>
      <c r="F58" s="8">
        <v>0.82</v>
      </c>
      <c r="G58" s="12">
        <v>25</v>
      </c>
      <c r="H58" s="8">
        <v>2.35</v>
      </c>
      <c r="I58" s="12">
        <v>0</v>
      </c>
    </row>
    <row r="59" spans="2:9" ht="15" customHeight="1" x14ac:dyDescent="0.2">
      <c r="B59" t="s">
        <v>177</v>
      </c>
      <c r="C59" s="12">
        <v>28</v>
      </c>
      <c r="D59" s="8">
        <v>1.8</v>
      </c>
      <c r="E59" s="12">
        <v>4</v>
      </c>
      <c r="F59" s="8">
        <v>0.82</v>
      </c>
      <c r="G59" s="12">
        <v>24</v>
      </c>
      <c r="H59" s="8">
        <v>2.25</v>
      </c>
      <c r="I59" s="12">
        <v>0</v>
      </c>
    </row>
    <row r="60" spans="2:9" ht="15" customHeight="1" x14ac:dyDescent="0.2">
      <c r="B60" t="s">
        <v>160</v>
      </c>
      <c r="C60" s="12">
        <v>28</v>
      </c>
      <c r="D60" s="8">
        <v>1.8</v>
      </c>
      <c r="E60" s="12">
        <v>4</v>
      </c>
      <c r="F60" s="8">
        <v>0.82</v>
      </c>
      <c r="G60" s="12">
        <v>24</v>
      </c>
      <c r="H60" s="8">
        <v>2.25</v>
      </c>
      <c r="I60" s="12">
        <v>0</v>
      </c>
    </row>
    <row r="61" spans="2:9" ht="15" customHeight="1" x14ac:dyDescent="0.2">
      <c r="B61" t="s">
        <v>163</v>
      </c>
      <c r="C61" s="12">
        <v>28</v>
      </c>
      <c r="D61" s="8">
        <v>1.8</v>
      </c>
      <c r="E61" s="12">
        <v>5</v>
      </c>
      <c r="F61" s="8">
        <v>1.02</v>
      </c>
      <c r="G61" s="12">
        <v>23</v>
      </c>
      <c r="H61" s="8">
        <v>2.16</v>
      </c>
      <c r="I61" s="12">
        <v>0</v>
      </c>
    </row>
    <row r="62" spans="2:9" ht="15" customHeight="1" x14ac:dyDescent="0.2">
      <c r="B62" t="s">
        <v>169</v>
      </c>
      <c r="C62" s="12">
        <v>28</v>
      </c>
      <c r="D62" s="8">
        <v>1.8</v>
      </c>
      <c r="E62" s="12">
        <v>23</v>
      </c>
      <c r="F62" s="8">
        <v>4.7</v>
      </c>
      <c r="G62" s="12">
        <v>5</v>
      </c>
      <c r="H62" s="8">
        <v>0.47</v>
      </c>
      <c r="I62" s="12">
        <v>0</v>
      </c>
    </row>
    <row r="63" spans="2:9" ht="15" customHeight="1" x14ac:dyDescent="0.2">
      <c r="B63" t="s">
        <v>171</v>
      </c>
      <c r="C63" s="12">
        <v>28</v>
      </c>
      <c r="D63" s="8">
        <v>1.8</v>
      </c>
      <c r="E63" s="12">
        <v>9</v>
      </c>
      <c r="F63" s="8">
        <v>1.84</v>
      </c>
      <c r="G63" s="12">
        <v>19</v>
      </c>
      <c r="H63" s="8">
        <v>1.78</v>
      </c>
      <c r="I63" s="12">
        <v>0</v>
      </c>
    </row>
    <row r="64" spans="2:9" ht="15" customHeight="1" x14ac:dyDescent="0.2">
      <c r="B64" t="s">
        <v>179</v>
      </c>
      <c r="C64" s="12">
        <v>26</v>
      </c>
      <c r="D64" s="8">
        <v>1.67</v>
      </c>
      <c r="E64" s="12">
        <v>11</v>
      </c>
      <c r="F64" s="8">
        <v>2.25</v>
      </c>
      <c r="G64" s="12">
        <v>15</v>
      </c>
      <c r="H64" s="8">
        <v>1.41</v>
      </c>
      <c r="I64" s="12">
        <v>0</v>
      </c>
    </row>
    <row r="65" spans="2:9" ht="15" customHeight="1" x14ac:dyDescent="0.2">
      <c r="B65" t="s">
        <v>168</v>
      </c>
      <c r="C65" s="12">
        <v>25</v>
      </c>
      <c r="D65" s="8">
        <v>1.6</v>
      </c>
      <c r="E65" s="12">
        <v>1</v>
      </c>
      <c r="F65" s="8">
        <v>0.2</v>
      </c>
      <c r="G65" s="12">
        <v>24</v>
      </c>
      <c r="H65" s="8">
        <v>2.25</v>
      </c>
      <c r="I65" s="12">
        <v>0</v>
      </c>
    </row>
    <row r="66" spans="2:9" ht="15" customHeight="1" x14ac:dyDescent="0.2">
      <c r="B66" t="s">
        <v>182</v>
      </c>
      <c r="C66" s="12">
        <v>24</v>
      </c>
      <c r="D66" s="8">
        <v>1.54</v>
      </c>
      <c r="E66" s="12">
        <v>1</v>
      </c>
      <c r="F66" s="8">
        <v>0.2</v>
      </c>
      <c r="G66" s="12">
        <v>23</v>
      </c>
      <c r="H66" s="8">
        <v>2.16</v>
      </c>
      <c r="I66" s="12">
        <v>0</v>
      </c>
    </row>
    <row r="67" spans="2:9" ht="15" customHeight="1" x14ac:dyDescent="0.2">
      <c r="B67" t="s">
        <v>184</v>
      </c>
      <c r="C67" s="12">
        <v>24</v>
      </c>
      <c r="D67" s="8">
        <v>1.54</v>
      </c>
      <c r="E67" s="12">
        <v>4</v>
      </c>
      <c r="F67" s="8">
        <v>0.82</v>
      </c>
      <c r="G67" s="12">
        <v>20</v>
      </c>
      <c r="H67" s="8">
        <v>1.88</v>
      </c>
      <c r="I67" s="12">
        <v>0</v>
      </c>
    </row>
    <row r="69" spans="2:9" ht="15" customHeight="1" x14ac:dyDescent="0.2">
      <c r="B69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FF8C9-0BF2-4D2A-B8E7-6FF9E51C45CF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283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419</v>
      </c>
      <c r="D6" s="8">
        <v>18.489999999999998</v>
      </c>
      <c r="E6" s="12">
        <v>95</v>
      </c>
      <c r="F6" s="8">
        <v>10.56</v>
      </c>
      <c r="G6" s="12">
        <v>324</v>
      </c>
      <c r="H6" s="8">
        <v>23.88</v>
      </c>
      <c r="I6" s="12">
        <v>0</v>
      </c>
    </row>
    <row r="7" spans="2:9" ht="15" customHeight="1" x14ac:dyDescent="0.2">
      <c r="B7" t="s">
        <v>76</v>
      </c>
      <c r="C7" s="12">
        <v>447</v>
      </c>
      <c r="D7" s="8">
        <v>19.73</v>
      </c>
      <c r="E7" s="12">
        <v>118</v>
      </c>
      <c r="F7" s="8">
        <v>13.11</v>
      </c>
      <c r="G7" s="12">
        <v>329</v>
      </c>
      <c r="H7" s="8">
        <v>24.24</v>
      </c>
      <c r="I7" s="12">
        <v>0</v>
      </c>
    </row>
    <row r="8" spans="2:9" ht="15" customHeight="1" x14ac:dyDescent="0.2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78</v>
      </c>
      <c r="C9" s="12">
        <v>11</v>
      </c>
      <c r="D9" s="8">
        <v>0.49</v>
      </c>
      <c r="E9" s="12">
        <v>1</v>
      </c>
      <c r="F9" s="8">
        <v>0.11</v>
      </c>
      <c r="G9" s="12">
        <v>10</v>
      </c>
      <c r="H9" s="8">
        <v>0.74</v>
      </c>
      <c r="I9" s="12">
        <v>0</v>
      </c>
    </row>
    <row r="10" spans="2:9" ht="15" customHeight="1" x14ac:dyDescent="0.2">
      <c r="B10" t="s">
        <v>79</v>
      </c>
      <c r="C10" s="12">
        <v>44</v>
      </c>
      <c r="D10" s="8">
        <v>1.94</v>
      </c>
      <c r="E10" s="12">
        <v>2</v>
      </c>
      <c r="F10" s="8">
        <v>0.22</v>
      </c>
      <c r="G10" s="12">
        <v>42</v>
      </c>
      <c r="H10" s="8">
        <v>3.1</v>
      </c>
      <c r="I10" s="12">
        <v>0</v>
      </c>
    </row>
    <row r="11" spans="2:9" ht="15" customHeight="1" x14ac:dyDescent="0.2">
      <c r="B11" t="s">
        <v>80</v>
      </c>
      <c r="C11" s="12">
        <v>433</v>
      </c>
      <c r="D11" s="8">
        <v>19.11</v>
      </c>
      <c r="E11" s="12">
        <v>174</v>
      </c>
      <c r="F11" s="8">
        <v>19.329999999999998</v>
      </c>
      <c r="G11" s="12">
        <v>259</v>
      </c>
      <c r="H11" s="8">
        <v>19.09</v>
      </c>
      <c r="I11" s="12">
        <v>0</v>
      </c>
    </row>
    <row r="12" spans="2:9" ht="15" customHeight="1" x14ac:dyDescent="0.2">
      <c r="B12" t="s">
        <v>81</v>
      </c>
      <c r="C12" s="12">
        <v>12</v>
      </c>
      <c r="D12" s="8">
        <v>0.53</v>
      </c>
      <c r="E12" s="12">
        <v>2</v>
      </c>
      <c r="F12" s="8">
        <v>0.22</v>
      </c>
      <c r="G12" s="12">
        <v>10</v>
      </c>
      <c r="H12" s="8">
        <v>0.74</v>
      </c>
      <c r="I12" s="12">
        <v>0</v>
      </c>
    </row>
    <row r="13" spans="2:9" ht="15" customHeight="1" x14ac:dyDescent="0.2">
      <c r="B13" t="s">
        <v>82</v>
      </c>
      <c r="C13" s="12">
        <v>173</v>
      </c>
      <c r="D13" s="8">
        <v>7.63</v>
      </c>
      <c r="E13" s="12">
        <v>34</v>
      </c>
      <c r="F13" s="8">
        <v>3.78</v>
      </c>
      <c r="G13" s="12">
        <v>139</v>
      </c>
      <c r="H13" s="8">
        <v>10.24</v>
      </c>
      <c r="I13" s="12">
        <v>0</v>
      </c>
    </row>
    <row r="14" spans="2:9" ht="15" customHeight="1" x14ac:dyDescent="0.2">
      <c r="B14" t="s">
        <v>83</v>
      </c>
      <c r="C14" s="12">
        <v>95</v>
      </c>
      <c r="D14" s="8">
        <v>4.1900000000000004</v>
      </c>
      <c r="E14" s="12">
        <v>50</v>
      </c>
      <c r="F14" s="8">
        <v>5.56</v>
      </c>
      <c r="G14" s="12">
        <v>45</v>
      </c>
      <c r="H14" s="8">
        <v>3.32</v>
      </c>
      <c r="I14" s="12">
        <v>0</v>
      </c>
    </row>
    <row r="15" spans="2:9" ht="15" customHeight="1" x14ac:dyDescent="0.2">
      <c r="B15" t="s">
        <v>84</v>
      </c>
      <c r="C15" s="12">
        <v>146</v>
      </c>
      <c r="D15" s="8">
        <v>6.44</v>
      </c>
      <c r="E15" s="12">
        <v>122</v>
      </c>
      <c r="F15" s="8">
        <v>13.56</v>
      </c>
      <c r="G15" s="12">
        <v>24</v>
      </c>
      <c r="H15" s="8">
        <v>1.77</v>
      </c>
      <c r="I15" s="12">
        <v>0</v>
      </c>
    </row>
    <row r="16" spans="2:9" ht="15" customHeight="1" x14ac:dyDescent="0.2">
      <c r="B16" t="s">
        <v>85</v>
      </c>
      <c r="C16" s="12">
        <v>242</v>
      </c>
      <c r="D16" s="8">
        <v>10.68</v>
      </c>
      <c r="E16" s="12">
        <v>188</v>
      </c>
      <c r="F16" s="8">
        <v>20.89</v>
      </c>
      <c r="G16" s="12">
        <v>54</v>
      </c>
      <c r="H16" s="8">
        <v>3.98</v>
      </c>
      <c r="I16" s="12">
        <v>0</v>
      </c>
    </row>
    <row r="17" spans="2:9" ht="15" customHeight="1" x14ac:dyDescent="0.2">
      <c r="B17" t="s">
        <v>86</v>
      </c>
      <c r="C17" s="12">
        <v>53</v>
      </c>
      <c r="D17" s="8">
        <v>2.34</v>
      </c>
      <c r="E17" s="12">
        <v>36</v>
      </c>
      <c r="F17" s="8">
        <v>4</v>
      </c>
      <c r="G17" s="12">
        <v>13</v>
      </c>
      <c r="H17" s="8">
        <v>0.96</v>
      </c>
      <c r="I17" s="12">
        <v>0</v>
      </c>
    </row>
    <row r="18" spans="2:9" ht="15" customHeight="1" x14ac:dyDescent="0.2">
      <c r="B18" t="s">
        <v>87</v>
      </c>
      <c r="C18" s="12">
        <v>97</v>
      </c>
      <c r="D18" s="8">
        <v>4.28</v>
      </c>
      <c r="E18" s="12">
        <v>52</v>
      </c>
      <c r="F18" s="8">
        <v>5.78</v>
      </c>
      <c r="G18" s="12">
        <v>43</v>
      </c>
      <c r="H18" s="8">
        <v>3.17</v>
      </c>
      <c r="I18" s="12">
        <v>2</v>
      </c>
    </row>
    <row r="19" spans="2:9" ht="15" customHeight="1" x14ac:dyDescent="0.2">
      <c r="B19" t="s">
        <v>88</v>
      </c>
      <c r="C19" s="12">
        <v>94</v>
      </c>
      <c r="D19" s="8">
        <v>4.1500000000000004</v>
      </c>
      <c r="E19" s="12">
        <v>26</v>
      </c>
      <c r="F19" s="8">
        <v>2.89</v>
      </c>
      <c r="G19" s="12">
        <v>65</v>
      </c>
      <c r="H19" s="8">
        <v>4.79</v>
      </c>
      <c r="I19" s="12">
        <v>2</v>
      </c>
    </row>
    <row r="20" spans="2:9" ht="15" customHeight="1" x14ac:dyDescent="0.2">
      <c r="B20" s="9" t="s">
        <v>269</v>
      </c>
      <c r="C20" s="12">
        <f>SUM(LTBL_11110[総数／事業所数])</f>
        <v>2266</v>
      </c>
      <c r="E20" s="12">
        <f>SUBTOTAL(109,LTBL_11110[個人／事業所数])</f>
        <v>900</v>
      </c>
      <c r="G20" s="12">
        <f>SUBTOTAL(109,LTBL_11110[法人／事業所数])</f>
        <v>1357</v>
      </c>
      <c r="I20" s="12">
        <f>SUBTOTAL(109,LTBL_11110[法人以外の団体／事業所数])</f>
        <v>4</v>
      </c>
    </row>
    <row r="21" spans="2:9" ht="15" customHeight="1" x14ac:dyDescent="0.2">
      <c r="E21" s="11">
        <f>LTBL_11110[[#Totals],[個人／事業所数]]/LTBL_11110[[#Totals],[総数／事業所数]]</f>
        <v>0.3971756398940865</v>
      </c>
      <c r="G21" s="11">
        <f>LTBL_11110[[#Totals],[法人／事業所数]]/LTBL_11110[[#Totals],[総数／事業所数]]</f>
        <v>0.59885260370697269</v>
      </c>
      <c r="I21" s="11">
        <f>LTBL_11110[[#Totals],[法人以外の団体／事業所数]]/LTBL_11110[[#Totals],[総数／事業所数]]</f>
        <v>1.76522506619594E-3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203</v>
      </c>
      <c r="D24" s="8">
        <v>8.9600000000000009</v>
      </c>
      <c r="E24" s="12">
        <v>180</v>
      </c>
      <c r="F24" s="8">
        <v>20</v>
      </c>
      <c r="G24" s="12">
        <v>23</v>
      </c>
      <c r="H24" s="8">
        <v>1.69</v>
      </c>
      <c r="I24" s="12">
        <v>0</v>
      </c>
    </row>
    <row r="25" spans="2:9" ht="15" customHeight="1" x14ac:dyDescent="0.2">
      <c r="B25" t="s">
        <v>98</v>
      </c>
      <c r="C25" s="12">
        <v>168</v>
      </c>
      <c r="D25" s="8">
        <v>7.41</v>
      </c>
      <c r="E25" s="12">
        <v>56</v>
      </c>
      <c r="F25" s="8">
        <v>6.22</v>
      </c>
      <c r="G25" s="12">
        <v>112</v>
      </c>
      <c r="H25" s="8">
        <v>8.25</v>
      </c>
      <c r="I25" s="12">
        <v>0</v>
      </c>
    </row>
    <row r="26" spans="2:9" ht="15" customHeight="1" x14ac:dyDescent="0.2">
      <c r="B26" t="s">
        <v>108</v>
      </c>
      <c r="C26" s="12">
        <v>147</v>
      </c>
      <c r="D26" s="8">
        <v>6.49</v>
      </c>
      <c r="E26" s="12">
        <v>33</v>
      </c>
      <c r="F26" s="8">
        <v>3.67</v>
      </c>
      <c r="G26" s="12">
        <v>114</v>
      </c>
      <c r="H26" s="8">
        <v>8.4</v>
      </c>
      <c r="I26" s="12">
        <v>0</v>
      </c>
    </row>
    <row r="27" spans="2:9" ht="15" customHeight="1" x14ac:dyDescent="0.2">
      <c r="B27" t="s">
        <v>97</v>
      </c>
      <c r="C27" s="12">
        <v>144</v>
      </c>
      <c r="D27" s="8">
        <v>6.35</v>
      </c>
      <c r="E27" s="12">
        <v>29</v>
      </c>
      <c r="F27" s="8">
        <v>3.22</v>
      </c>
      <c r="G27" s="12">
        <v>115</v>
      </c>
      <c r="H27" s="8">
        <v>8.4700000000000006</v>
      </c>
      <c r="I27" s="12">
        <v>0</v>
      </c>
    </row>
    <row r="28" spans="2:9" ht="15" customHeight="1" x14ac:dyDescent="0.2">
      <c r="B28" t="s">
        <v>111</v>
      </c>
      <c r="C28" s="12">
        <v>133</v>
      </c>
      <c r="D28" s="8">
        <v>5.87</v>
      </c>
      <c r="E28" s="12">
        <v>119</v>
      </c>
      <c r="F28" s="8">
        <v>13.22</v>
      </c>
      <c r="G28" s="12">
        <v>14</v>
      </c>
      <c r="H28" s="8">
        <v>1.03</v>
      </c>
      <c r="I28" s="12">
        <v>0</v>
      </c>
    </row>
    <row r="29" spans="2:9" ht="15" customHeight="1" x14ac:dyDescent="0.2">
      <c r="B29" t="s">
        <v>106</v>
      </c>
      <c r="C29" s="12">
        <v>117</v>
      </c>
      <c r="D29" s="8">
        <v>5.16</v>
      </c>
      <c r="E29" s="12">
        <v>47</v>
      </c>
      <c r="F29" s="8">
        <v>5.22</v>
      </c>
      <c r="G29" s="12">
        <v>70</v>
      </c>
      <c r="H29" s="8">
        <v>5.16</v>
      </c>
      <c r="I29" s="12">
        <v>0</v>
      </c>
    </row>
    <row r="30" spans="2:9" ht="15" customHeight="1" x14ac:dyDescent="0.2">
      <c r="B30" t="s">
        <v>99</v>
      </c>
      <c r="C30" s="12">
        <v>107</v>
      </c>
      <c r="D30" s="8">
        <v>4.72</v>
      </c>
      <c r="E30" s="12">
        <v>10</v>
      </c>
      <c r="F30" s="8">
        <v>1.1100000000000001</v>
      </c>
      <c r="G30" s="12">
        <v>97</v>
      </c>
      <c r="H30" s="8">
        <v>7.15</v>
      </c>
      <c r="I30" s="12">
        <v>0</v>
      </c>
    </row>
    <row r="31" spans="2:9" ht="15" customHeight="1" x14ac:dyDescent="0.2">
      <c r="B31" t="s">
        <v>100</v>
      </c>
      <c r="C31" s="12">
        <v>85</v>
      </c>
      <c r="D31" s="8">
        <v>3.75</v>
      </c>
      <c r="E31" s="12">
        <v>19</v>
      </c>
      <c r="F31" s="8">
        <v>2.11</v>
      </c>
      <c r="G31" s="12">
        <v>66</v>
      </c>
      <c r="H31" s="8">
        <v>4.8600000000000003</v>
      </c>
      <c r="I31" s="12">
        <v>0</v>
      </c>
    </row>
    <row r="32" spans="2:9" ht="15" customHeight="1" x14ac:dyDescent="0.2">
      <c r="B32" t="s">
        <v>105</v>
      </c>
      <c r="C32" s="12">
        <v>75</v>
      </c>
      <c r="D32" s="8">
        <v>3.31</v>
      </c>
      <c r="E32" s="12">
        <v>33</v>
      </c>
      <c r="F32" s="8">
        <v>3.67</v>
      </c>
      <c r="G32" s="12">
        <v>42</v>
      </c>
      <c r="H32" s="8">
        <v>3.1</v>
      </c>
      <c r="I32" s="12">
        <v>0</v>
      </c>
    </row>
    <row r="33" spans="2:9" ht="15" customHeight="1" x14ac:dyDescent="0.2">
      <c r="B33" t="s">
        <v>104</v>
      </c>
      <c r="C33" s="12">
        <v>72</v>
      </c>
      <c r="D33" s="8">
        <v>3.18</v>
      </c>
      <c r="E33" s="12">
        <v>59</v>
      </c>
      <c r="F33" s="8">
        <v>6.56</v>
      </c>
      <c r="G33" s="12">
        <v>13</v>
      </c>
      <c r="H33" s="8">
        <v>0.96</v>
      </c>
      <c r="I33" s="12">
        <v>0</v>
      </c>
    </row>
    <row r="34" spans="2:9" ht="15" customHeight="1" x14ac:dyDescent="0.2">
      <c r="B34" t="s">
        <v>115</v>
      </c>
      <c r="C34" s="12">
        <v>60</v>
      </c>
      <c r="D34" s="8">
        <v>2.65</v>
      </c>
      <c r="E34" s="12">
        <v>52</v>
      </c>
      <c r="F34" s="8">
        <v>5.78</v>
      </c>
      <c r="G34" s="12">
        <v>8</v>
      </c>
      <c r="H34" s="8">
        <v>0.59</v>
      </c>
      <c r="I34" s="12">
        <v>0</v>
      </c>
    </row>
    <row r="35" spans="2:9" ht="15" customHeight="1" x14ac:dyDescent="0.2">
      <c r="B35" t="s">
        <v>120</v>
      </c>
      <c r="C35" s="12">
        <v>56</v>
      </c>
      <c r="D35" s="8">
        <v>2.4700000000000002</v>
      </c>
      <c r="E35" s="12">
        <v>7</v>
      </c>
      <c r="F35" s="8">
        <v>0.78</v>
      </c>
      <c r="G35" s="12">
        <v>49</v>
      </c>
      <c r="H35" s="8">
        <v>3.61</v>
      </c>
      <c r="I35" s="12">
        <v>0</v>
      </c>
    </row>
    <row r="36" spans="2:9" ht="15" customHeight="1" x14ac:dyDescent="0.2">
      <c r="B36" t="s">
        <v>125</v>
      </c>
      <c r="C36" s="12">
        <v>55</v>
      </c>
      <c r="D36" s="8">
        <v>2.4300000000000002</v>
      </c>
      <c r="E36" s="12">
        <v>24</v>
      </c>
      <c r="F36" s="8">
        <v>2.67</v>
      </c>
      <c r="G36" s="12">
        <v>31</v>
      </c>
      <c r="H36" s="8">
        <v>2.2799999999999998</v>
      </c>
      <c r="I36" s="12">
        <v>0</v>
      </c>
    </row>
    <row r="37" spans="2:9" ht="15" customHeight="1" x14ac:dyDescent="0.2">
      <c r="B37" t="s">
        <v>114</v>
      </c>
      <c r="C37" s="12">
        <v>53</v>
      </c>
      <c r="D37" s="8">
        <v>2.34</v>
      </c>
      <c r="E37" s="12">
        <v>36</v>
      </c>
      <c r="F37" s="8">
        <v>4</v>
      </c>
      <c r="G37" s="12">
        <v>13</v>
      </c>
      <c r="H37" s="8">
        <v>0.96</v>
      </c>
      <c r="I37" s="12">
        <v>0</v>
      </c>
    </row>
    <row r="38" spans="2:9" ht="15" customHeight="1" x14ac:dyDescent="0.2">
      <c r="B38" t="s">
        <v>109</v>
      </c>
      <c r="C38" s="12">
        <v>49</v>
      </c>
      <c r="D38" s="8">
        <v>2.16</v>
      </c>
      <c r="E38" s="12">
        <v>35</v>
      </c>
      <c r="F38" s="8">
        <v>3.89</v>
      </c>
      <c r="G38" s="12">
        <v>14</v>
      </c>
      <c r="H38" s="8">
        <v>1.03</v>
      </c>
      <c r="I38" s="12">
        <v>0</v>
      </c>
    </row>
    <row r="39" spans="2:9" ht="15" customHeight="1" x14ac:dyDescent="0.2">
      <c r="B39" t="s">
        <v>102</v>
      </c>
      <c r="C39" s="12">
        <v>45</v>
      </c>
      <c r="D39" s="8">
        <v>1.99</v>
      </c>
      <c r="E39" s="12">
        <v>3</v>
      </c>
      <c r="F39" s="8">
        <v>0.33</v>
      </c>
      <c r="G39" s="12">
        <v>42</v>
      </c>
      <c r="H39" s="8">
        <v>3.1</v>
      </c>
      <c r="I39" s="12">
        <v>0</v>
      </c>
    </row>
    <row r="40" spans="2:9" ht="15" customHeight="1" x14ac:dyDescent="0.2">
      <c r="B40" t="s">
        <v>116</v>
      </c>
      <c r="C40" s="12">
        <v>44</v>
      </c>
      <c r="D40" s="8">
        <v>1.94</v>
      </c>
      <c r="E40" s="12">
        <v>21</v>
      </c>
      <c r="F40" s="8">
        <v>2.33</v>
      </c>
      <c r="G40" s="12">
        <v>23</v>
      </c>
      <c r="H40" s="8">
        <v>1.69</v>
      </c>
      <c r="I40" s="12">
        <v>0</v>
      </c>
    </row>
    <row r="41" spans="2:9" ht="15" customHeight="1" x14ac:dyDescent="0.2">
      <c r="B41" t="s">
        <v>117</v>
      </c>
      <c r="C41" s="12">
        <v>42</v>
      </c>
      <c r="D41" s="8">
        <v>1.85</v>
      </c>
      <c r="E41" s="12">
        <v>8</v>
      </c>
      <c r="F41" s="8">
        <v>0.89</v>
      </c>
      <c r="G41" s="12">
        <v>34</v>
      </c>
      <c r="H41" s="8">
        <v>2.5099999999999998</v>
      </c>
      <c r="I41" s="12">
        <v>0</v>
      </c>
    </row>
    <row r="42" spans="2:9" ht="15" customHeight="1" x14ac:dyDescent="0.2">
      <c r="B42" t="s">
        <v>110</v>
      </c>
      <c r="C42" s="12">
        <v>42</v>
      </c>
      <c r="D42" s="8">
        <v>1.85</v>
      </c>
      <c r="E42" s="12">
        <v>15</v>
      </c>
      <c r="F42" s="8">
        <v>1.67</v>
      </c>
      <c r="G42" s="12">
        <v>27</v>
      </c>
      <c r="H42" s="8">
        <v>1.99</v>
      </c>
      <c r="I42" s="12">
        <v>0</v>
      </c>
    </row>
    <row r="43" spans="2:9" ht="15" customHeight="1" x14ac:dyDescent="0.2">
      <c r="B43" t="s">
        <v>118</v>
      </c>
      <c r="C43" s="12">
        <v>37</v>
      </c>
      <c r="D43" s="8">
        <v>1.63</v>
      </c>
      <c r="E43" s="12">
        <v>0</v>
      </c>
      <c r="F43" s="8">
        <v>0</v>
      </c>
      <c r="G43" s="12">
        <v>35</v>
      </c>
      <c r="H43" s="8">
        <v>2.58</v>
      </c>
      <c r="I43" s="12">
        <v>2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173</v>
      </c>
      <c r="C47" s="12">
        <v>83</v>
      </c>
      <c r="D47" s="8">
        <v>3.66</v>
      </c>
      <c r="E47" s="12">
        <v>76</v>
      </c>
      <c r="F47" s="8">
        <v>8.44</v>
      </c>
      <c r="G47" s="12">
        <v>7</v>
      </c>
      <c r="H47" s="8">
        <v>0.52</v>
      </c>
      <c r="I47" s="12">
        <v>0</v>
      </c>
    </row>
    <row r="48" spans="2:9" ht="15" customHeight="1" x14ac:dyDescent="0.2">
      <c r="B48" t="s">
        <v>172</v>
      </c>
      <c r="C48" s="12">
        <v>77</v>
      </c>
      <c r="D48" s="8">
        <v>3.4</v>
      </c>
      <c r="E48" s="12">
        <v>75</v>
      </c>
      <c r="F48" s="8">
        <v>8.33</v>
      </c>
      <c r="G48" s="12">
        <v>2</v>
      </c>
      <c r="H48" s="8">
        <v>0.15</v>
      </c>
      <c r="I48" s="12">
        <v>0</v>
      </c>
    </row>
    <row r="49" spans="2:9" ht="15" customHeight="1" x14ac:dyDescent="0.2">
      <c r="B49" t="s">
        <v>167</v>
      </c>
      <c r="C49" s="12">
        <v>68</v>
      </c>
      <c r="D49" s="8">
        <v>3</v>
      </c>
      <c r="E49" s="12">
        <v>22</v>
      </c>
      <c r="F49" s="8">
        <v>2.44</v>
      </c>
      <c r="G49" s="12">
        <v>46</v>
      </c>
      <c r="H49" s="8">
        <v>3.39</v>
      </c>
      <c r="I49" s="12">
        <v>0</v>
      </c>
    </row>
    <row r="50" spans="2:9" ht="15" customHeight="1" x14ac:dyDescent="0.2">
      <c r="B50" t="s">
        <v>163</v>
      </c>
      <c r="C50" s="12">
        <v>51</v>
      </c>
      <c r="D50" s="8">
        <v>2.25</v>
      </c>
      <c r="E50" s="12">
        <v>16</v>
      </c>
      <c r="F50" s="8">
        <v>1.78</v>
      </c>
      <c r="G50" s="12">
        <v>35</v>
      </c>
      <c r="H50" s="8">
        <v>2.58</v>
      </c>
      <c r="I50" s="12">
        <v>0</v>
      </c>
    </row>
    <row r="51" spans="2:9" ht="15" customHeight="1" x14ac:dyDescent="0.2">
      <c r="B51" t="s">
        <v>200</v>
      </c>
      <c r="C51" s="12">
        <v>50</v>
      </c>
      <c r="D51" s="8">
        <v>2.21</v>
      </c>
      <c r="E51" s="12">
        <v>7</v>
      </c>
      <c r="F51" s="8">
        <v>0.78</v>
      </c>
      <c r="G51" s="12">
        <v>43</v>
      </c>
      <c r="H51" s="8">
        <v>3.17</v>
      </c>
      <c r="I51" s="12">
        <v>0</v>
      </c>
    </row>
    <row r="52" spans="2:9" ht="15" customHeight="1" x14ac:dyDescent="0.2">
      <c r="B52" t="s">
        <v>175</v>
      </c>
      <c r="C52" s="12">
        <v>44</v>
      </c>
      <c r="D52" s="8">
        <v>1.94</v>
      </c>
      <c r="E52" s="12">
        <v>39</v>
      </c>
      <c r="F52" s="8">
        <v>4.33</v>
      </c>
      <c r="G52" s="12">
        <v>5</v>
      </c>
      <c r="H52" s="8">
        <v>0.37</v>
      </c>
      <c r="I52" s="12">
        <v>0</v>
      </c>
    </row>
    <row r="53" spans="2:9" ht="15" customHeight="1" x14ac:dyDescent="0.2">
      <c r="B53" t="s">
        <v>176</v>
      </c>
      <c r="C53" s="12">
        <v>44</v>
      </c>
      <c r="D53" s="8">
        <v>1.94</v>
      </c>
      <c r="E53" s="12">
        <v>21</v>
      </c>
      <c r="F53" s="8">
        <v>2.33</v>
      </c>
      <c r="G53" s="12">
        <v>23</v>
      </c>
      <c r="H53" s="8">
        <v>1.69</v>
      </c>
      <c r="I53" s="12">
        <v>0</v>
      </c>
    </row>
    <row r="54" spans="2:9" ht="15" customHeight="1" x14ac:dyDescent="0.2">
      <c r="B54" t="s">
        <v>159</v>
      </c>
      <c r="C54" s="12">
        <v>43</v>
      </c>
      <c r="D54" s="8">
        <v>1.9</v>
      </c>
      <c r="E54" s="12">
        <v>18</v>
      </c>
      <c r="F54" s="8">
        <v>2</v>
      </c>
      <c r="G54" s="12">
        <v>25</v>
      </c>
      <c r="H54" s="8">
        <v>1.84</v>
      </c>
      <c r="I54" s="12">
        <v>0</v>
      </c>
    </row>
    <row r="55" spans="2:9" ht="15" customHeight="1" x14ac:dyDescent="0.2">
      <c r="B55" t="s">
        <v>161</v>
      </c>
      <c r="C55" s="12">
        <v>39</v>
      </c>
      <c r="D55" s="8">
        <v>1.72</v>
      </c>
      <c r="E55" s="12">
        <v>4</v>
      </c>
      <c r="F55" s="8">
        <v>0.44</v>
      </c>
      <c r="G55" s="12">
        <v>35</v>
      </c>
      <c r="H55" s="8">
        <v>2.58</v>
      </c>
      <c r="I55" s="12">
        <v>0</v>
      </c>
    </row>
    <row r="56" spans="2:9" ht="15" customHeight="1" x14ac:dyDescent="0.2">
      <c r="B56" t="s">
        <v>160</v>
      </c>
      <c r="C56" s="12">
        <v>38</v>
      </c>
      <c r="D56" s="8">
        <v>1.68</v>
      </c>
      <c r="E56" s="12">
        <v>5</v>
      </c>
      <c r="F56" s="8">
        <v>0.56000000000000005</v>
      </c>
      <c r="G56" s="12">
        <v>33</v>
      </c>
      <c r="H56" s="8">
        <v>2.4300000000000002</v>
      </c>
      <c r="I56" s="12">
        <v>0</v>
      </c>
    </row>
    <row r="57" spans="2:9" ht="15" customHeight="1" x14ac:dyDescent="0.2">
      <c r="B57" t="s">
        <v>166</v>
      </c>
      <c r="C57" s="12">
        <v>38</v>
      </c>
      <c r="D57" s="8">
        <v>1.68</v>
      </c>
      <c r="E57" s="12">
        <v>2</v>
      </c>
      <c r="F57" s="8">
        <v>0.22</v>
      </c>
      <c r="G57" s="12">
        <v>36</v>
      </c>
      <c r="H57" s="8">
        <v>2.65</v>
      </c>
      <c r="I57" s="12">
        <v>0</v>
      </c>
    </row>
    <row r="58" spans="2:9" ht="15" customHeight="1" x14ac:dyDescent="0.2">
      <c r="B58" t="s">
        <v>158</v>
      </c>
      <c r="C58" s="12">
        <v>35</v>
      </c>
      <c r="D58" s="8">
        <v>1.54</v>
      </c>
      <c r="E58" s="12">
        <v>5</v>
      </c>
      <c r="F58" s="8">
        <v>0.56000000000000005</v>
      </c>
      <c r="G58" s="12">
        <v>30</v>
      </c>
      <c r="H58" s="8">
        <v>2.21</v>
      </c>
      <c r="I58" s="12">
        <v>0</v>
      </c>
    </row>
    <row r="59" spans="2:9" ht="15" customHeight="1" x14ac:dyDescent="0.2">
      <c r="B59" t="s">
        <v>201</v>
      </c>
      <c r="C59" s="12">
        <v>34</v>
      </c>
      <c r="D59" s="8">
        <v>1.5</v>
      </c>
      <c r="E59" s="12">
        <v>14</v>
      </c>
      <c r="F59" s="8">
        <v>1.56</v>
      </c>
      <c r="G59" s="12">
        <v>20</v>
      </c>
      <c r="H59" s="8">
        <v>1.47</v>
      </c>
      <c r="I59" s="12">
        <v>0</v>
      </c>
    </row>
    <row r="60" spans="2:9" ht="15" customHeight="1" x14ac:dyDescent="0.2">
      <c r="B60" t="s">
        <v>169</v>
      </c>
      <c r="C60" s="12">
        <v>34</v>
      </c>
      <c r="D60" s="8">
        <v>1.5</v>
      </c>
      <c r="E60" s="12">
        <v>33</v>
      </c>
      <c r="F60" s="8">
        <v>3.67</v>
      </c>
      <c r="G60" s="12">
        <v>1</v>
      </c>
      <c r="H60" s="8">
        <v>7.0000000000000007E-2</v>
      </c>
      <c r="I60" s="12">
        <v>0</v>
      </c>
    </row>
    <row r="61" spans="2:9" ht="15" customHeight="1" x14ac:dyDescent="0.2">
      <c r="B61" t="s">
        <v>170</v>
      </c>
      <c r="C61" s="12">
        <v>34</v>
      </c>
      <c r="D61" s="8">
        <v>1.5</v>
      </c>
      <c r="E61" s="12">
        <v>32</v>
      </c>
      <c r="F61" s="8">
        <v>3.56</v>
      </c>
      <c r="G61" s="12">
        <v>2</v>
      </c>
      <c r="H61" s="8">
        <v>0.15</v>
      </c>
      <c r="I61" s="12">
        <v>0</v>
      </c>
    </row>
    <row r="62" spans="2:9" ht="15" customHeight="1" x14ac:dyDescent="0.2">
      <c r="B62" t="s">
        <v>171</v>
      </c>
      <c r="C62" s="12">
        <v>33</v>
      </c>
      <c r="D62" s="8">
        <v>1.46</v>
      </c>
      <c r="E62" s="12">
        <v>21</v>
      </c>
      <c r="F62" s="8">
        <v>2.33</v>
      </c>
      <c r="G62" s="12">
        <v>12</v>
      </c>
      <c r="H62" s="8">
        <v>0.88</v>
      </c>
      <c r="I62" s="12">
        <v>0</v>
      </c>
    </row>
    <row r="63" spans="2:9" ht="15" customHeight="1" x14ac:dyDescent="0.2">
      <c r="B63" t="s">
        <v>157</v>
      </c>
      <c r="C63" s="12">
        <v>32</v>
      </c>
      <c r="D63" s="8">
        <v>1.41</v>
      </c>
      <c r="E63" s="12">
        <v>2</v>
      </c>
      <c r="F63" s="8">
        <v>0.22</v>
      </c>
      <c r="G63" s="12">
        <v>30</v>
      </c>
      <c r="H63" s="8">
        <v>2.21</v>
      </c>
      <c r="I63" s="12">
        <v>0</v>
      </c>
    </row>
    <row r="64" spans="2:9" ht="15" customHeight="1" x14ac:dyDescent="0.2">
      <c r="B64" t="s">
        <v>197</v>
      </c>
      <c r="C64" s="12">
        <v>30</v>
      </c>
      <c r="D64" s="8">
        <v>1.32</v>
      </c>
      <c r="E64" s="12">
        <v>11</v>
      </c>
      <c r="F64" s="8">
        <v>1.22</v>
      </c>
      <c r="G64" s="12">
        <v>19</v>
      </c>
      <c r="H64" s="8">
        <v>1.4</v>
      </c>
      <c r="I64" s="12">
        <v>0</v>
      </c>
    </row>
    <row r="65" spans="2:9" ht="15" customHeight="1" x14ac:dyDescent="0.2">
      <c r="B65" t="s">
        <v>177</v>
      </c>
      <c r="C65" s="12">
        <v>29</v>
      </c>
      <c r="D65" s="8">
        <v>1.28</v>
      </c>
      <c r="E65" s="12">
        <v>4</v>
      </c>
      <c r="F65" s="8">
        <v>0.44</v>
      </c>
      <c r="G65" s="12">
        <v>25</v>
      </c>
      <c r="H65" s="8">
        <v>1.84</v>
      </c>
      <c r="I65" s="12">
        <v>0</v>
      </c>
    </row>
    <row r="66" spans="2:9" ht="15" customHeight="1" x14ac:dyDescent="0.2">
      <c r="B66" t="s">
        <v>182</v>
      </c>
      <c r="C66" s="12">
        <v>28</v>
      </c>
      <c r="D66" s="8">
        <v>1.24</v>
      </c>
      <c r="E66" s="12">
        <v>7</v>
      </c>
      <c r="F66" s="8">
        <v>0.78</v>
      </c>
      <c r="G66" s="12">
        <v>21</v>
      </c>
      <c r="H66" s="8">
        <v>1.55</v>
      </c>
      <c r="I66" s="12">
        <v>0</v>
      </c>
    </row>
    <row r="67" spans="2:9" ht="15" customHeight="1" x14ac:dyDescent="0.2">
      <c r="B67" t="s">
        <v>174</v>
      </c>
      <c r="C67" s="12">
        <v>28</v>
      </c>
      <c r="D67" s="8">
        <v>1.24</v>
      </c>
      <c r="E67" s="12">
        <v>19</v>
      </c>
      <c r="F67" s="8">
        <v>2.11</v>
      </c>
      <c r="G67" s="12">
        <v>9</v>
      </c>
      <c r="H67" s="8">
        <v>0.66</v>
      </c>
      <c r="I67" s="12">
        <v>0</v>
      </c>
    </row>
    <row r="69" spans="2:9" ht="15" customHeight="1" x14ac:dyDescent="0.2">
      <c r="B69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29EAD-085A-4AA2-9EF1-9F723D5A976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284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926</v>
      </c>
      <c r="D6" s="8">
        <v>15.78</v>
      </c>
      <c r="E6" s="12">
        <v>184</v>
      </c>
      <c r="F6" s="8">
        <v>7.69</v>
      </c>
      <c r="G6" s="12">
        <v>742</v>
      </c>
      <c r="H6" s="8">
        <v>21.5</v>
      </c>
      <c r="I6" s="12">
        <v>0</v>
      </c>
    </row>
    <row r="7" spans="2:9" ht="15" customHeight="1" x14ac:dyDescent="0.2">
      <c r="B7" t="s">
        <v>76</v>
      </c>
      <c r="C7" s="12">
        <v>550</v>
      </c>
      <c r="D7" s="8">
        <v>9.3699999999999992</v>
      </c>
      <c r="E7" s="12">
        <v>124</v>
      </c>
      <c r="F7" s="8">
        <v>5.18</v>
      </c>
      <c r="G7" s="12">
        <v>425</v>
      </c>
      <c r="H7" s="8">
        <v>12.32</v>
      </c>
      <c r="I7" s="12">
        <v>1</v>
      </c>
    </row>
    <row r="8" spans="2:9" ht="15" customHeight="1" x14ac:dyDescent="0.2">
      <c r="B8" t="s">
        <v>77</v>
      </c>
      <c r="C8" s="12">
        <v>2</v>
      </c>
      <c r="D8" s="8">
        <v>0.03</v>
      </c>
      <c r="E8" s="12">
        <v>0</v>
      </c>
      <c r="F8" s="8">
        <v>0</v>
      </c>
      <c r="G8" s="12">
        <v>2</v>
      </c>
      <c r="H8" s="8">
        <v>0.06</v>
      </c>
      <c r="I8" s="12">
        <v>0</v>
      </c>
    </row>
    <row r="9" spans="2:9" ht="15" customHeight="1" x14ac:dyDescent="0.2">
      <c r="B9" t="s">
        <v>78</v>
      </c>
      <c r="C9" s="12">
        <v>69</v>
      </c>
      <c r="D9" s="8">
        <v>1.18</v>
      </c>
      <c r="E9" s="12">
        <v>4</v>
      </c>
      <c r="F9" s="8">
        <v>0.17</v>
      </c>
      <c r="G9" s="12">
        <v>65</v>
      </c>
      <c r="H9" s="8">
        <v>1.88</v>
      </c>
      <c r="I9" s="12">
        <v>0</v>
      </c>
    </row>
    <row r="10" spans="2:9" ht="15" customHeight="1" x14ac:dyDescent="0.2">
      <c r="B10" t="s">
        <v>79</v>
      </c>
      <c r="C10" s="12">
        <v>60</v>
      </c>
      <c r="D10" s="8">
        <v>1.02</v>
      </c>
      <c r="E10" s="12">
        <v>2</v>
      </c>
      <c r="F10" s="8">
        <v>0.08</v>
      </c>
      <c r="G10" s="12">
        <v>58</v>
      </c>
      <c r="H10" s="8">
        <v>1.68</v>
      </c>
      <c r="I10" s="12">
        <v>0</v>
      </c>
    </row>
    <row r="11" spans="2:9" ht="15" customHeight="1" x14ac:dyDescent="0.2">
      <c r="B11" t="s">
        <v>80</v>
      </c>
      <c r="C11" s="12">
        <v>1210</v>
      </c>
      <c r="D11" s="8">
        <v>20.62</v>
      </c>
      <c r="E11" s="12">
        <v>458</v>
      </c>
      <c r="F11" s="8">
        <v>19.14</v>
      </c>
      <c r="G11" s="12">
        <v>751</v>
      </c>
      <c r="H11" s="8">
        <v>21.76</v>
      </c>
      <c r="I11" s="12">
        <v>1</v>
      </c>
    </row>
    <row r="12" spans="2:9" ht="15" customHeight="1" x14ac:dyDescent="0.2">
      <c r="B12" t="s">
        <v>81</v>
      </c>
      <c r="C12" s="12">
        <v>37</v>
      </c>
      <c r="D12" s="8">
        <v>0.63</v>
      </c>
      <c r="E12" s="12">
        <v>4</v>
      </c>
      <c r="F12" s="8">
        <v>0.17</v>
      </c>
      <c r="G12" s="12">
        <v>33</v>
      </c>
      <c r="H12" s="8">
        <v>0.96</v>
      </c>
      <c r="I12" s="12">
        <v>0</v>
      </c>
    </row>
    <row r="13" spans="2:9" ht="15" customHeight="1" x14ac:dyDescent="0.2">
      <c r="B13" t="s">
        <v>82</v>
      </c>
      <c r="C13" s="12">
        <v>582</v>
      </c>
      <c r="D13" s="8">
        <v>9.92</v>
      </c>
      <c r="E13" s="12">
        <v>91</v>
      </c>
      <c r="F13" s="8">
        <v>3.8</v>
      </c>
      <c r="G13" s="12">
        <v>491</v>
      </c>
      <c r="H13" s="8">
        <v>14.23</v>
      </c>
      <c r="I13" s="12">
        <v>0</v>
      </c>
    </row>
    <row r="14" spans="2:9" ht="15" customHeight="1" x14ac:dyDescent="0.2">
      <c r="B14" t="s">
        <v>83</v>
      </c>
      <c r="C14" s="12">
        <v>371</v>
      </c>
      <c r="D14" s="8">
        <v>6.32</v>
      </c>
      <c r="E14" s="12">
        <v>183</v>
      </c>
      <c r="F14" s="8">
        <v>7.65</v>
      </c>
      <c r="G14" s="12">
        <v>186</v>
      </c>
      <c r="H14" s="8">
        <v>5.39</v>
      </c>
      <c r="I14" s="12">
        <v>0</v>
      </c>
    </row>
    <row r="15" spans="2:9" ht="15" customHeight="1" x14ac:dyDescent="0.2">
      <c r="B15" t="s">
        <v>84</v>
      </c>
      <c r="C15" s="12">
        <v>568</v>
      </c>
      <c r="D15" s="8">
        <v>9.68</v>
      </c>
      <c r="E15" s="12">
        <v>414</v>
      </c>
      <c r="F15" s="8">
        <v>17.3</v>
      </c>
      <c r="G15" s="12">
        <v>153</v>
      </c>
      <c r="H15" s="8">
        <v>4.43</v>
      </c>
      <c r="I15" s="12">
        <v>0</v>
      </c>
    </row>
    <row r="16" spans="2:9" ht="15" customHeight="1" x14ac:dyDescent="0.2">
      <c r="B16" t="s">
        <v>85</v>
      </c>
      <c r="C16" s="12">
        <v>687</v>
      </c>
      <c r="D16" s="8">
        <v>11.71</v>
      </c>
      <c r="E16" s="12">
        <v>494</v>
      </c>
      <c r="F16" s="8">
        <v>20.64</v>
      </c>
      <c r="G16" s="12">
        <v>191</v>
      </c>
      <c r="H16" s="8">
        <v>5.53</v>
      </c>
      <c r="I16" s="12">
        <v>0</v>
      </c>
    </row>
    <row r="17" spans="2:9" ht="15" customHeight="1" x14ac:dyDescent="0.2">
      <c r="B17" t="s">
        <v>86</v>
      </c>
      <c r="C17" s="12">
        <v>236</v>
      </c>
      <c r="D17" s="8">
        <v>4.0199999999999996</v>
      </c>
      <c r="E17" s="12">
        <v>164</v>
      </c>
      <c r="F17" s="8">
        <v>6.85</v>
      </c>
      <c r="G17" s="12">
        <v>65</v>
      </c>
      <c r="H17" s="8">
        <v>1.88</v>
      </c>
      <c r="I17" s="12">
        <v>1</v>
      </c>
    </row>
    <row r="18" spans="2:9" ht="15" customHeight="1" x14ac:dyDescent="0.2">
      <c r="B18" t="s">
        <v>87</v>
      </c>
      <c r="C18" s="12">
        <v>309</v>
      </c>
      <c r="D18" s="8">
        <v>5.27</v>
      </c>
      <c r="E18" s="12">
        <v>199</v>
      </c>
      <c r="F18" s="8">
        <v>8.32</v>
      </c>
      <c r="G18" s="12">
        <v>103</v>
      </c>
      <c r="H18" s="8">
        <v>2.98</v>
      </c>
      <c r="I18" s="12">
        <v>0</v>
      </c>
    </row>
    <row r="19" spans="2:9" ht="15" customHeight="1" x14ac:dyDescent="0.2">
      <c r="B19" t="s">
        <v>88</v>
      </c>
      <c r="C19" s="12">
        <v>261</v>
      </c>
      <c r="D19" s="8">
        <v>4.45</v>
      </c>
      <c r="E19" s="12">
        <v>72</v>
      </c>
      <c r="F19" s="8">
        <v>3.01</v>
      </c>
      <c r="G19" s="12">
        <v>186</v>
      </c>
      <c r="H19" s="8">
        <v>5.39</v>
      </c>
      <c r="I19" s="12">
        <v>1</v>
      </c>
    </row>
    <row r="20" spans="2:9" ht="15" customHeight="1" x14ac:dyDescent="0.2">
      <c r="B20" s="9" t="s">
        <v>269</v>
      </c>
      <c r="C20" s="12">
        <f>SUM(LTBL_11201[総数／事業所数])</f>
        <v>5868</v>
      </c>
      <c r="E20" s="12">
        <f>SUBTOTAL(109,LTBL_11201[個人／事業所数])</f>
        <v>2393</v>
      </c>
      <c r="G20" s="12">
        <f>SUBTOTAL(109,LTBL_11201[法人／事業所数])</f>
        <v>3451</v>
      </c>
      <c r="I20" s="12">
        <f>SUBTOTAL(109,LTBL_11201[法人以外の団体／事業所数])</f>
        <v>4</v>
      </c>
    </row>
    <row r="21" spans="2:9" ht="15" customHeight="1" x14ac:dyDescent="0.2">
      <c r="E21" s="11">
        <f>LTBL_11201[[#Totals],[個人／事業所数]]/LTBL_11201[[#Totals],[総数／事業所数]]</f>
        <v>0.40780504430811182</v>
      </c>
      <c r="G21" s="11">
        <f>LTBL_11201[[#Totals],[法人／事業所数]]/LTBL_11201[[#Totals],[総数／事業所数]]</f>
        <v>0.58810497614178592</v>
      </c>
      <c r="I21" s="11">
        <f>LTBL_11201[[#Totals],[法人以外の団体／事業所数]]/LTBL_11201[[#Totals],[総数／事業所数]]</f>
        <v>6.8166325835037494E-4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542</v>
      </c>
      <c r="D24" s="8">
        <v>9.24</v>
      </c>
      <c r="E24" s="12">
        <v>435</v>
      </c>
      <c r="F24" s="8">
        <v>18.18</v>
      </c>
      <c r="G24" s="12">
        <v>107</v>
      </c>
      <c r="H24" s="8">
        <v>3.1</v>
      </c>
      <c r="I24" s="12">
        <v>0</v>
      </c>
    </row>
    <row r="25" spans="2:9" ht="15" customHeight="1" x14ac:dyDescent="0.2">
      <c r="B25" t="s">
        <v>111</v>
      </c>
      <c r="C25" s="12">
        <v>525</v>
      </c>
      <c r="D25" s="8">
        <v>8.9499999999999993</v>
      </c>
      <c r="E25" s="12">
        <v>404</v>
      </c>
      <c r="F25" s="8">
        <v>16.88</v>
      </c>
      <c r="G25" s="12">
        <v>121</v>
      </c>
      <c r="H25" s="8">
        <v>3.51</v>
      </c>
      <c r="I25" s="12">
        <v>0</v>
      </c>
    </row>
    <row r="26" spans="2:9" ht="15" customHeight="1" x14ac:dyDescent="0.2">
      <c r="B26" t="s">
        <v>108</v>
      </c>
      <c r="C26" s="12">
        <v>422</v>
      </c>
      <c r="D26" s="8">
        <v>7.19</v>
      </c>
      <c r="E26" s="12">
        <v>75</v>
      </c>
      <c r="F26" s="8">
        <v>3.13</v>
      </c>
      <c r="G26" s="12">
        <v>347</v>
      </c>
      <c r="H26" s="8">
        <v>10.06</v>
      </c>
      <c r="I26" s="12">
        <v>0</v>
      </c>
    </row>
    <row r="27" spans="2:9" ht="15" customHeight="1" x14ac:dyDescent="0.2">
      <c r="B27" t="s">
        <v>98</v>
      </c>
      <c r="C27" s="12">
        <v>357</v>
      </c>
      <c r="D27" s="8">
        <v>6.08</v>
      </c>
      <c r="E27" s="12">
        <v>94</v>
      </c>
      <c r="F27" s="8">
        <v>3.93</v>
      </c>
      <c r="G27" s="12">
        <v>263</v>
      </c>
      <c r="H27" s="8">
        <v>7.62</v>
      </c>
      <c r="I27" s="12">
        <v>0</v>
      </c>
    </row>
    <row r="28" spans="2:9" ht="15" customHeight="1" x14ac:dyDescent="0.2">
      <c r="B28" t="s">
        <v>97</v>
      </c>
      <c r="C28" s="12">
        <v>310</v>
      </c>
      <c r="D28" s="8">
        <v>5.28</v>
      </c>
      <c r="E28" s="12">
        <v>56</v>
      </c>
      <c r="F28" s="8">
        <v>2.34</v>
      </c>
      <c r="G28" s="12">
        <v>254</v>
      </c>
      <c r="H28" s="8">
        <v>7.36</v>
      </c>
      <c r="I28" s="12">
        <v>0</v>
      </c>
    </row>
    <row r="29" spans="2:9" ht="15" customHeight="1" x14ac:dyDescent="0.2">
      <c r="B29" t="s">
        <v>106</v>
      </c>
      <c r="C29" s="12">
        <v>302</v>
      </c>
      <c r="D29" s="8">
        <v>5.15</v>
      </c>
      <c r="E29" s="12">
        <v>129</v>
      </c>
      <c r="F29" s="8">
        <v>5.39</v>
      </c>
      <c r="G29" s="12">
        <v>173</v>
      </c>
      <c r="H29" s="8">
        <v>5.01</v>
      </c>
      <c r="I29" s="12">
        <v>0</v>
      </c>
    </row>
    <row r="30" spans="2:9" ht="15" customHeight="1" x14ac:dyDescent="0.2">
      <c r="B30" t="s">
        <v>104</v>
      </c>
      <c r="C30" s="12">
        <v>285</v>
      </c>
      <c r="D30" s="8">
        <v>4.8600000000000003</v>
      </c>
      <c r="E30" s="12">
        <v>170</v>
      </c>
      <c r="F30" s="8">
        <v>7.1</v>
      </c>
      <c r="G30" s="12">
        <v>115</v>
      </c>
      <c r="H30" s="8">
        <v>3.33</v>
      </c>
      <c r="I30" s="12">
        <v>0</v>
      </c>
    </row>
    <row r="31" spans="2:9" ht="15" customHeight="1" x14ac:dyDescent="0.2">
      <c r="B31" t="s">
        <v>99</v>
      </c>
      <c r="C31" s="12">
        <v>259</v>
      </c>
      <c r="D31" s="8">
        <v>4.41</v>
      </c>
      <c r="E31" s="12">
        <v>34</v>
      </c>
      <c r="F31" s="8">
        <v>1.42</v>
      </c>
      <c r="G31" s="12">
        <v>225</v>
      </c>
      <c r="H31" s="8">
        <v>6.52</v>
      </c>
      <c r="I31" s="12">
        <v>0</v>
      </c>
    </row>
    <row r="32" spans="2:9" ht="15" customHeight="1" x14ac:dyDescent="0.2">
      <c r="B32" t="s">
        <v>115</v>
      </c>
      <c r="C32" s="12">
        <v>244</v>
      </c>
      <c r="D32" s="8">
        <v>4.16</v>
      </c>
      <c r="E32" s="12">
        <v>198</v>
      </c>
      <c r="F32" s="8">
        <v>8.27</v>
      </c>
      <c r="G32" s="12">
        <v>46</v>
      </c>
      <c r="H32" s="8">
        <v>1.33</v>
      </c>
      <c r="I32" s="12">
        <v>0</v>
      </c>
    </row>
    <row r="33" spans="2:9" ht="15" customHeight="1" x14ac:dyDescent="0.2">
      <c r="B33" t="s">
        <v>114</v>
      </c>
      <c r="C33" s="12">
        <v>236</v>
      </c>
      <c r="D33" s="8">
        <v>4.0199999999999996</v>
      </c>
      <c r="E33" s="12">
        <v>164</v>
      </c>
      <c r="F33" s="8">
        <v>6.85</v>
      </c>
      <c r="G33" s="12">
        <v>65</v>
      </c>
      <c r="H33" s="8">
        <v>1.88</v>
      </c>
      <c r="I33" s="12">
        <v>1</v>
      </c>
    </row>
    <row r="34" spans="2:9" ht="15" customHeight="1" x14ac:dyDescent="0.2">
      <c r="B34" t="s">
        <v>109</v>
      </c>
      <c r="C34" s="12">
        <v>224</v>
      </c>
      <c r="D34" s="8">
        <v>3.82</v>
      </c>
      <c r="E34" s="12">
        <v>139</v>
      </c>
      <c r="F34" s="8">
        <v>5.81</v>
      </c>
      <c r="G34" s="12">
        <v>85</v>
      </c>
      <c r="H34" s="8">
        <v>2.46</v>
      </c>
      <c r="I34" s="12">
        <v>0</v>
      </c>
    </row>
    <row r="35" spans="2:9" ht="15" customHeight="1" x14ac:dyDescent="0.2">
      <c r="B35" t="s">
        <v>105</v>
      </c>
      <c r="C35" s="12">
        <v>163</v>
      </c>
      <c r="D35" s="8">
        <v>2.78</v>
      </c>
      <c r="E35" s="12">
        <v>72</v>
      </c>
      <c r="F35" s="8">
        <v>3.01</v>
      </c>
      <c r="G35" s="12">
        <v>91</v>
      </c>
      <c r="H35" s="8">
        <v>2.64</v>
      </c>
      <c r="I35" s="12">
        <v>0</v>
      </c>
    </row>
    <row r="36" spans="2:9" ht="15" customHeight="1" x14ac:dyDescent="0.2">
      <c r="B36" t="s">
        <v>103</v>
      </c>
      <c r="C36" s="12">
        <v>143</v>
      </c>
      <c r="D36" s="8">
        <v>2.44</v>
      </c>
      <c r="E36" s="12">
        <v>55</v>
      </c>
      <c r="F36" s="8">
        <v>2.2999999999999998</v>
      </c>
      <c r="G36" s="12">
        <v>88</v>
      </c>
      <c r="H36" s="8">
        <v>2.5499999999999998</v>
      </c>
      <c r="I36" s="12">
        <v>0</v>
      </c>
    </row>
    <row r="37" spans="2:9" ht="15" customHeight="1" x14ac:dyDescent="0.2">
      <c r="B37" t="s">
        <v>110</v>
      </c>
      <c r="C37" s="12">
        <v>136</v>
      </c>
      <c r="D37" s="8">
        <v>2.3199999999999998</v>
      </c>
      <c r="E37" s="12">
        <v>43</v>
      </c>
      <c r="F37" s="8">
        <v>1.8</v>
      </c>
      <c r="G37" s="12">
        <v>91</v>
      </c>
      <c r="H37" s="8">
        <v>2.64</v>
      </c>
      <c r="I37" s="12">
        <v>0</v>
      </c>
    </row>
    <row r="38" spans="2:9" ht="15" customHeight="1" x14ac:dyDescent="0.2">
      <c r="B38" t="s">
        <v>107</v>
      </c>
      <c r="C38" s="12">
        <v>134</v>
      </c>
      <c r="D38" s="8">
        <v>2.2799999999999998</v>
      </c>
      <c r="E38" s="12">
        <v>15</v>
      </c>
      <c r="F38" s="8">
        <v>0.63</v>
      </c>
      <c r="G38" s="12">
        <v>119</v>
      </c>
      <c r="H38" s="8">
        <v>3.45</v>
      </c>
      <c r="I38" s="12">
        <v>0</v>
      </c>
    </row>
    <row r="39" spans="2:9" ht="15" customHeight="1" x14ac:dyDescent="0.2">
      <c r="B39" t="s">
        <v>113</v>
      </c>
      <c r="C39" s="12">
        <v>106</v>
      </c>
      <c r="D39" s="8">
        <v>1.81</v>
      </c>
      <c r="E39" s="12">
        <v>37</v>
      </c>
      <c r="F39" s="8">
        <v>1.55</v>
      </c>
      <c r="G39" s="12">
        <v>69</v>
      </c>
      <c r="H39" s="8">
        <v>2</v>
      </c>
      <c r="I39" s="12">
        <v>0</v>
      </c>
    </row>
    <row r="40" spans="2:9" ht="15" customHeight="1" x14ac:dyDescent="0.2">
      <c r="B40" t="s">
        <v>100</v>
      </c>
      <c r="C40" s="12">
        <v>97</v>
      </c>
      <c r="D40" s="8">
        <v>1.65</v>
      </c>
      <c r="E40" s="12">
        <v>22</v>
      </c>
      <c r="F40" s="8">
        <v>0.92</v>
      </c>
      <c r="G40" s="12">
        <v>75</v>
      </c>
      <c r="H40" s="8">
        <v>2.17</v>
      </c>
      <c r="I40" s="12">
        <v>0</v>
      </c>
    </row>
    <row r="41" spans="2:9" ht="15" customHeight="1" x14ac:dyDescent="0.2">
      <c r="B41" t="s">
        <v>119</v>
      </c>
      <c r="C41" s="12">
        <v>90</v>
      </c>
      <c r="D41" s="8">
        <v>1.53</v>
      </c>
      <c r="E41" s="12">
        <v>8</v>
      </c>
      <c r="F41" s="8">
        <v>0.33</v>
      </c>
      <c r="G41" s="12">
        <v>80</v>
      </c>
      <c r="H41" s="8">
        <v>2.3199999999999998</v>
      </c>
      <c r="I41" s="12">
        <v>1</v>
      </c>
    </row>
    <row r="42" spans="2:9" ht="15" customHeight="1" x14ac:dyDescent="0.2">
      <c r="B42" t="s">
        <v>116</v>
      </c>
      <c r="C42" s="12">
        <v>86</v>
      </c>
      <c r="D42" s="8">
        <v>1.47</v>
      </c>
      <c r="E42" s="12">
        <v>46</v>
      </c>
      <c r="F42" s="8">
        <v>1.92</v>
      </c>
      <c r="G42" s="12">
        <v>40</v>
      </c>
      <c r="H42" s="8">
        <v>1.1599999999999999</v>
      </c>
      <c r="I42" s="12">
        <v>0</v>
      </c>
    </row>
    <row r="43" spans="2:9" ht="15" customHeight="1" x14ac:dyDescent="0.2">
      <c r="B43" t="s">
        <v>102</v>
      </c>
      <c r="C43" s="12">
        <v>79</v>
      </c>
      <c r="D43" s="8">
        <v>1.35</v>
      </c>
      <c r="E43" s="12">
        <v>7</v>
      </c>
      <c r="F43" s="8">
        <v>0.28999999999999998</v>
      </c>
      <c r="G43" s="12">
        <v>72</v>
      </c>
      <c r="H43" s="8">
        <v>2.09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173</v>
      </c>
      <c r="C47" s="12">
        <v>268</v>
      </c>
      <c r="D47" s="8">
        <v>4.57</v>
      </c>
      <c r="E47" s="12">
        <v>222</v>
      </c>
      <c r="F47" s="8">
        <v>9.2799999999999994</v>
      </c>
      <c r="G47" s="12">
        <v>46</v>
      </c>
      <c r="H47" s="8">
        <v>1.33</v>
      </c>
      <c r="I47" s="12">
        <v>0</v>
      </c>
    </row>
    <row r="48" spans="2:9" ht="15" customHeight="1" x14ac:dyDescent="0.2">
      <c r="B48" t="s">
        <v>167</v>
      </c>
      <c r="C48" s="12">
        <v>192</v>
      </c>
      <c r="D48" s="8">
        <v>3.27</v>
      </c>
      <c r="E48" s="12">
        <v>54</v>
      </c>
      <c r="F48" s="8">
        <v>2.2599999999999998</v>
      </c>
      <c r="G48" s="12">
        <v>138</v>
      </c>
      <c r="H48" s="8">
        <v>4</v>
      </c>
      <c r="I48" s="12">
        <v>0</v>
      </c>
    </row>
    <row r="49" spans="2:9" ht="15" customHeight="1" x14ac:dyDescent="0.2">
      <c r="B49" t="s">
        <v>172</v>
      </c>
      <c r="C49" s="12">
        <v>171</v>
      </c>
      <c r="D49" s="8">
        <v>2.91</v>
      </c>
      <c r="E49" s="12">
        <v>158</v>
      </c>
      <c r="F49" s="8">
        <v>6.6</v>
      </c>
      <c r="G49" s="12">
        <v>13</v>
      </c>
      <c r="H49" s="8">
        <v>0.38</v>
      </c>
      <c r="I49" s="12">
        <v>0</v>
      </c>
    </row>
    <row r="50" spans="2:9" ht="15" customHeight="1" x14ac:dyDescent="0.2">
      <c r="B50" t="s">
        <v>175</v>
      </c>
      <c r="C50" s="12">
        <v>170</v>
      </c>
      <c r="D50" s="8">
        <v>2.9</v>
      </c>
      <c r="E50" s="12">
        <v>139</v>
      </c>
      <c r="F50" s="8">
        <v>5.81</v>
      </c>
      <c r="G50" s="12">
        <v>31</v>
      </c>
      <c r="H50" s="8">
        <v>0.9</v>
      </c>
      <c r="I50" s="12">
        <v>0</v>
      </c>
    </row>
    <row r="51" spans="2:9" ht="15" customHeight="1" x14ac:dyDescent="0.2">
      <c r="B51" t="s">
        <v>169</v>
      </c>
      <c r="C51" s="12">
        <v>157</v>
      </c>
      <c r="D51" s="8">
        <v>2.68</v>
      </c>
      <c r="E51" s="12">
        <v>117</v>
      </c>
      <c r="F51" s="8">
        <v>4.8899999999999997</v>
      </c>
      <c r="G51" s="12">
        <v>40</v>
      </c>
      <c r="H51" s="8">
        <v>1.1599999999999999</v>
      </c>
      <c r="I51" s="12">
        <v>0</v>
      </c>
    </row>
    <row r="52" spans="2:9" ht="15" customHeight="1" x14ac:dyDescent="0.2">
      <c r="B52" t="s">
        <v>174</v>
      </c>
      <c r="C52" s="12">
        <v>145</v>
      </c>
      <c r="D52" s="8">
        <v>2.4700000000000002</v>
      </c>
      <c r="E52" s="12">
        <v>116</v>
      </c>
      <c r="F52" s="8">
        <v>4.8499999999999996</v>
      </c>
      <c r="G52" s="12">
        <v>29</v>
      </c>
      <c r="H52" s="8">
        <v>0.84</v>
      </c>
      <c r="I52" s="12">
        <v>0</v>
      </c>
    </row>
    <row r="53" spans="2:9" ht="15" customHeight="1" x14ac:dyDescent="0.2">
      <c r="B53" t="s">
        <v>170</v>
      </c>
      <c r="C53" s="12">
        <v>130</v>
      </c>
      <c r="D53" s="8">
        <v>2.2200000000000002</v>
      </c>
      <c r="E53" s="12">
        <v>107</v>
      </c>
      <c r="F53" s="8">
        <v>4.47</v>
      </c>
      <c r="G53" s="12">
        <v>23</v>
      </c>
      <c r="H53" s="8">
        <v>0.67</v>
      </c>
      <c r="I53" s="12">
        <v>0</v>
      </c>
    </row>
    <row r="54" spans="2:9" ht="15" customHeight="1" x14ac:dyDescent="0.2">
      <c r="B54" t="s">
        <v>161</v>
      </c>
      <c r="C54" s="12">
        <v>112</v>
      </c>
      <c r="D54" s="8">
        <v>1.91</v>
      </c>
      <c r="E54" s="12">
        <v>17</v>
      </c>
      <c r="F54" s="8">
        <v>0.71</v>
      </c>
      <c r="G54" s="12">
        <v>95</v>
      </c>
      <c r="H54" s="8">
        <v>2.75</v>
      </c>
      <c r="I54" s="12">
        <v>0</v>
      </c>
    </row>
    <row r="55" spans="2:9" ht="15" customHeight="1" x14ac:dyDescent="0.2">
      <c r="B55" t="s">
        <v>162</v>
      </c>
      <c r="C55" s="12">
        <v>109</v>
      </c>
      <c r="D55" s="8">
        <v>1.86</v>
      </c>
      <c r="E55" s="12">
        <v>59</v>
      </c>
      <c r="F55" s="8">
        <v>2.4700000000000002</v>
      </c>
      <c r="G55" s="12">
        <v>50</v>
      </c>
      <c r="H55" s="8">
        <v>1.45</v>
      </c>
      <c r="I55" s="12">
        <v>0</v>
      </c>
    </row>
    <row r="56" spans="2:9" ht="15" customHeight="1" x14ac:dyDescent="0.2">
      <c r="B56" t="s">
        <v>166</v>
      </c>
      <c r="C56" s="12">
        <v>106</v>
      </c>
      <c r="D56" s="8">
        <v>1.81</v>
      </c>
      <c r="E56" s="12">
        <v>10</v>
      </c>
      <c r="F56" s="8">
        <v>0.42</v>
      </c>
      <c r="G56" s="12">
        <v>96</v>
      </c>
      <c r="H56" s="8">
        <v>2.78</v>
      </c>
      <c r="I56" s="12">
        <v>0</v>
      </c>
    </row>
    <row r="57" spans="2:9" ht="15" customHeight="1" x14ac:dyDescent="0.2">
      <c r="B57" t="s">
        <v>164</v>
      </c>
      <c r="C57" s="12">
        <v>105</v>
      </c>
      <c r="D57" s="8">
        <v>1.79</v>
      </c>
      <c r="E57" s="12">
        <v>51</v>
      </c>
      <c r="F57" s="8">
        <v>2.13</v>
      </c>
      <c r="G57" s="12">
        <v>54</v>
      </c>
      <c r="H57" s="8">
        <v>1.56</v>
      </c>
      <c r="I57" s="12">
        <v>0</v>
      </c>
    </row>
    <row r="58" spans="2:9" ht="15" customHeight="1" x14ac:dyDescent="0.2">
      <c r="B58" t="s">
        <v>160</v>
      </c>
      <c r="C58" s="12">
        <v>100</v>
      </c>
      <c r="D58" s="8">
        <v>1.7</v>
      </c>
      <c r="E58" s="12">
        <v>15</v>
      </c>
      <c r="F58" s="8">
        <v>0.63</v>
      </c>
      <c r="G58" s="12">
        <v>85</v>
      </c>
      <c r="H58" s="8">
        <v>2.46</v>
      </c>
      <c r="I58" s="12">
        <v>0</v>
      </c>
    </row>
    <row r="59" spans="2:9" ht="15" customHeight="1" x14ac:dyDescent="0.2">
      <c r="B59" t="s">
        <v>188</v>
      </c>
      <c r="C59" s="12">
        <v>99</v>
      </c>
      <c r="D59" s="8">
        <v>1.69</v>
      </c>
      <c r="E59" s="12">
        <v>59</v>
      </c>
      <c r="F59" s="8">
        <v>2.4700000000000002</v>
      </c>
      <c r="G59" s="12">
        <v>40</v>
      </c>
      <c r="H59" s="8">
        <v>1.1599999999999999</v>
      </c>
      <c r="I59" s="12">
        <v>0</v>
      </c>
    </row>
    <row r="60" spans="2:9" ht="15" customHeight="1" x14ac:dyDescent="0.2">
      <c r="B60" t="s">
        <v>168</v>
      </c>
      <c r="C60" s="12">
        <v>96</v>
      </c>
      <c r="D60" s="8">
        <v>1.64</v>
      </c>
      <c r="E60" s="12">
        <v>3</v>
      </c>
      <c r="F60" s="8">
        <v>0.13</v>
      </c>
      <c r="G60" s="12">
        <v>93</v>
      </c>
      <c r="H60" s="8">
        <v>2.69</v>
      </c>
      <c r="I60" s="12">
        <v>0</v>
      </c>
    </row>
    <row r="61" spans="2:9" ht="15" customHeight="1" x14ac:dyDescent="0.2">
      <c r="B61" t="s">
        <v>163</v>
      </c>
      <c r="C61" s="12">
        <v>95</v>
      </c>
      <c r="D61" s="8">
        <v>1.62</v>
      </c>
      <c r="E61" s="12">
        <v>33</v>
      </c>
      <c r="F61" s="8">
        <v>1.38</v>
      </c>
      <c r="G61" s="12">
        <v>62</v>
      </c>
      <c r="H61" s="8">
        <v>1.8</v>
      </c>
      <c r="I61" s="12">
        <v>0</v>
      </c>
    </row>
    <row r="62" spans="2:9" ht="15" customHeight="1" x14ac:dyDescent="0.2">
      <c r="B62" t="s">
        <v>178</v>
      </c>
      <c r="C62" s="12">
        <v>87</v>
      </c>
      <c r="D62" s="8">
        <v>1.48</v>
      </c>
      <c r="E62" s="12">
        <v>23</v>
      </c>
      <c r="F62" s="8">
        <v>0.96</v>
      </c>
      <c r="G62" s="12">
        <v>62</v>
      </c>
      <c r="H62" s="8">
        <v>1.8</v>
      </c>
      <c r="I62" s="12">
        <v>0</v>
      </c>
    </row>
    <row r="63" spans="2:9" ht="15" customHeight="1" x14ac:dyDescent="0.2">
      <c r="B63" t="s">
        <v>176</v>
      </c>
      <c r="C63" s="12">
        <v>86</v>
      </c>
      <c r="D63" s="8">
        <v>1.47</v>
      </c>
      <c r="E63" s="12">
        <v>46</v>
      </c>
      <c r="F63" s="8">
        <v>1.92</v>
      </c>
      <c r="G63" s="12">
        <v>40</v>
      </c>
      <c r="H63" s="8">
        <v>1.1599999999999999</v>
      </c>
      <c r="I63" s="12">
        <v>0</v>
      </c>
    </row>
    <row r="64" spans="2:9" ht="15" customHeight="1" x14ac:dyDescent="0.2">
      <c r="B64" t="s">
        <v>165</v>
      </c>
      <c r="C64" s="12">
        <v>85</v>
      </c>
      <c r="D64" s="8">
        <v>1.45</v>
      </c>
      <c r="E64" s="12">
        <v>12</v>
      </c>
      <c r="F64" s="8">
        <v>0.5</v>
      </c>
      <c r="G64" s="12">
        <v>73</v>
      </c>
      <c r="H64" s="8">
        <v>2.12</v>
      </c>
      <c r="I64" s="12">
        <v>0</v>
      </c>
    </row>
    <row r="65" spans="2:9" ht="15" customHeight="1" x14ac:dyDescent="0.2">
      <c r="B65" t="s">
        <v>159</v>
      </c>
      <c r="C65" s="12">
        <v>76</v>
      </c>
      <c r="D65" s="8">
        <v>1.3</v>
      </c>
      <c r="E65" s="12">
        <v>22</v>
      </c>
      <c r="F65" s="8">
        <v>0.92</v>
      </c>
      <c r="G65" s="12">
        <v>54</v>
      </c>
      <c r="H65" s="8">
        <v>1.56</v>
      </c>
      <c r="I65" s="12">
        <v>0</v>
      </c>
    </row>
    <row r="66" spans="2:9" ht="15" customHeight="1" x14ac:dyDescent="0.2">
      <c r="B66" t="s">
        <v>157</v>
      </c>
      <c r="C66" s="12">
        <v>75</v>
      </c>
      <c r="D66" s="8">
        <v>1.28</v>
      </c>
      <c r="E66" s="12">
        <v>6</v>
      </c>
      <c r="F66" s="8">
        <v>0.25</v>
      </c>
      <c r="G66" s="12">
        <v>69</v>
      </c>
      <c r="H66" s="8">
        <v>2</v>
      </c>
      <c r="I66" s="12">
        <v>0</v>
      </c>
    </row>
    <row r="68" spans="2:9" ht="15" customHeight="1" x14ac:dyDescent="0.2">
      <c r="B68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A108A-56E0-4A69-B445-9715C11587C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285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1</v>
      </c>
      <c r="D5" s="8">
        <v>0.02</v>
      </c>
      <c r="E5" s="12">
        <v>0</v>
      </c>
      <c r="F5" s="8">
        <v>0</v>
      </c>
      <c r="G5" s="12">
        <v>1</v>
      </c>
      <c r="H5" s="8">
        <v>0.04</v>
      </c>
      <c r="I5" s="12">
        <v>0</v>
      </c>
    </row>
    <row r="6" spans="2:9" ht="15" customHeight="1" x14ac:dyDescent="0.2">
      <c r="B6" t="s">
        <v>75</v>
      </c>
      <c r="C6" s="12">
        <v>693</v>
      </c>
      <c r="D6" s="8">
        <v>15.27</v>
      </c>
      <c r="E6" s="12">
        <v>253</v>
      </c>
      <c r="F6" s="8">
        <v>11.26</v>
      </c>
      <c r="G6" s="12">
        <v>440</v>
      </c>
      <c r="H6" s="8">
        <v>19.59</v>
      </c>
      <c r="I6" s="12">
        <v>0</v>
      </c>
    </row>
    <row r="7" spans="2:9" ht="15" customHeight="1" x14ac:dyDescent="0.2">
      <c r="B7" t="s">
        <v>76</v>
      </c>
      <c r="C7" s="12">
        <v>301</v>
      </c>
      <c r="D7" s="8">
        <v>6.63</v>
      </c>
      <c r="E7" s="12">
        <v>68</v>
      </c>
      <c r="F7" s="8">
        <v>3.03</v>
      </c>
      <c r="G7" s="12">
        <v>232</v>
      </c>
      <c r="H7" s="8">
        <v>10.33</v>
      </c>
      <c r="I7" s="12">
        <v>0</v>
      </c>
    </row>
    <row r="8" spans="2:9" ht="15" customHeight="1" x14ac:dyDescent="0.2">
      <c r="B8" t="s">
        <v>77</v>
      </c>
      <c r="C8" s="12">
        <v>6</v>
      </c>
      <c r="D8" s="8">
        <v>0.13</v>
      </c>
      <c r="E8" s="12">
        <v>0</v>
      </c>
      <c r="F8" s="8">
        <v>0</v>
      </c>
      <c r="G8" s="12">
        <v>6</v>
      </c>
      <c r="H8" s="8">
        <v>0.27</v>
      </c>
      <c r="I8" s="12">
        <v>0</v>
      </c>
    </row>
    <row r="9" spans="2:9" ht="15" customHeight="1" x14ac:dyDescent="0.2">
      <c r="B9" t="s">
        <v>78</v>
      </c>
      <c r="C9" s="12">
        <v>32</v>
      </c>
      <c r="D9" s="8">
        <v>0.71</v>
      </c>
      <c r="E9" s="12">
        <v>1</v>
      </c>
      <c r="F9" s="8">
        <v>0.04</v>
      </c>
      <c r="G9" s="12">
        <v>31</v>
      </c>
      <c r="H9" s="8">
        <v>1.38</v>
      </c>
      <c r="I9" s="12">
        <v>0</v>
      </c>
    </row>
    <row r="10" spans="2:9" ht="15" customHeight="1" x14ac:dyDescent="0.2">
      <c r="B10" t="s">
        <v>79</v>
      </c>
      <c r="C10" s="12">
        <v>42</v>
      </c>
      <c r="D10" s="8">
        <v>0.93</v>
      </c>
      <c r="E10" s="12">
        <v>6</v>
      </c>
      <c r="F10" s="8">
        <v>0.27</v>
      </c>
      <c r="G10" s="12">
        <v>36</v>
      </c>
      <c r="H10" s="8">
        <v>1.6</v>
      </c>
      <c r="I10" s="12">
        <v>0</v>
      </c>
    </row>
    <row r="11" spans="2:9" ht="15" customHeight="1" x14ac:dyDescent="0.2">
      <c r="B11" t="s">
        <v>80</v>
      </c>
      <c r="C11" s="12">
        <v>1075</v>
      </c>
      <c r="D11" s="8">
        <v>23.69</v>
      </c>
      <c r="E11" s="12">
        <v>431</v>
      </c>
      <c r="F11" s="8">
        <v>19.190000000000001</v>
      </c>
      <c r="G11" s="12">
        <v>643</v>
      </c>
      <c r="H11" s="8">
        <v>28.63</v>
      </c>
      <c r="I11" s="12">
        <v>1</v>
      </c>
    </row>
    <row r="12" spans="2:9" ht="15" customHeight="1" x14ac:dyDescent="0.2">
      <c r="B12" t="s">
        <v>81</v>
      </c>
      <c r="C12" s="12">
        <v>37</v>
      </c>
      <c r="D12" s="8">
        <v>0.82</v>
      </c>
      <c r="E12" s="12">
        <v>10</v>
      </c>
      <c r="F12" s="8">
        <v>0.45</v>
      </c>
      <c r="G12" s="12">
        <v>27</v>
      </c>
      <c r="H12" s="8">
        <v>1.2</v>
      </c>
      <c r="I12" s="12">
        <v>0</v>
      </c>
    </row>
    <row r="13" spans="2:9" ht="15" customHeight="1" x14ac:dyDescent="0.2">
      <c r="B13" t="s">
        <v>82</v>
      </c>
      <c r="C13" s="12">
        <v>361</v>
      </c>
      <c r="D13" s="8">
        <v>7.96</v>
      </c>
      <c r="E13" s="12">
        <v>96</v>
      </c>
      <c r="F13" s="8">
        <v>4.2699999999999996</v>
      </c>
      <c r="G13" s="12">
        <v>265</v>
      </c>
      <c r="H13" s="8">
        <v>11.8</v>
      </c>
      <c r="I13" s="12">
        <v>0</v>
      </c>
    </row>
    <row r="14" spans="2:9" ht="15" customHeight="1" x14ac:dyDescent="0.2">
      <c r="B14" t="s">
        <v>83</v>
      </c>
      <c r="C14" s="12">
        <v>265</v>
      </c>
      <c r="D14" s="8">
        <v>5.84</v>
      </c>
      <c r="E14" s="12">
        <v>142</v>
      </c>
      <c r="F14" s="8">
        <v>6.32</v>
      </c>
      <c r="G14" s="12">
        <v>120</v>
      </c>
      <c r="H14" s="8">
        <v>5.34</v>
      </c>
      <c r="I14" s="12">
        <v>0</v>
      </c>
    </row>
    <row r="15" spans="2:9" ht="15" customHeight="1" x14ac:dyDescent="0.2">
      <c r="B15" t="s">
        <v>84</v>
      </c>
      <c r="C15" s="12">
        <v>527</v>
      </c>
      <c r="D15" s="8">
        <v>11.62</v>
      </c>
      <c r="E15" s="12">
        <v>404</v>
      </c>
      <c r="F15" s="8">
        <v>17.989999999999998</v>
      </c>
      <c r="G15" s="12">
        <v>122</v>
      </c>
      <c r="H15" s="8">
        <v>5.43</v>
      </c>
      <c r="I15" s="12">
        <v>0</v>
      </c>
    </row>
    <row r="16" spans="2:9" ht="15" customHeight="1" x14ac:dyDescent="0.2">
      <c r="B16" t="s">
        <v>85</v>
      </c>
      <c r="C16" s="12">
        <v>550</v>
      </c>
      <c r="D16" s="8">
        <v>12.12</v>
      </c>
      <c r="E16" s="12">
        <v>448</v>
      </c>
      <c r="F16" s="8">
        <v>19.95</v>
      </c>
      <c r="G16" s="12">
        <v>101</v>
      </c>
      <c r="H16" s="8">
        <v>4.5</v>
      </c>
      <c r="I16" s="12">
        <v>0</v>
      </c>
    </row>
    <row r="17" spans="2:9" ht="15" customHeight="1" x14ac:dyDescent="0.2">
      <c r="B17" t="s">
        <v>86</v>
      </c>
      <c r="C17" s="12">
        <v>210</v>
      </c>
      <c r="D17" s="8">
        <v>4.63</v>
      </c>
      <c r="E17" s="12">
        <v>146</v>
      </c>
      <c r="F17" s="8">
        <v>6.5</v>
      </c>
      <c r="G17" s="12">
        <v>37</v>
      </c>
      <c r="H17" s="8">
        <v>1.65</v>
      </c>
      <c r="I17" s="12">
        <v>0</v>
      </c>
    </row>
    <row r="18" spans="2:9" ht="15" customHeight="1" x14ac:dyDescent="0.2">
      <c r="B18" t="s">
        <v>87</v>
      </c>
      <c r="C18" s="12">
        <v>228</v>
      </c>
      <c r="D18" s="8">
        <v>5.03</v>
      </c>
      <c r="E18" s="12">
        <v>149</v>
      </c>
      <c r="F18" s="8">
        <v>6.63</v>
      </c>
      <c r="G18" s="12">
        <v>73</v>
      </c>
      <c r="H18" s="8">
        <v>3.25</v>
      </c>
      <c r="I18" s="12">
        <v>0</v>
      </c>
    </row>
    <row r="19" spans="2:9" ht="15" customHeight="1" x14ac:dyDescent="0.2">
      <c r="B19" t="s">
        <v>88</v>
      </c>
      <c r="C19" s="12">
        <v>209</v>
      </c>
      <c r="D19" s="8">
        <v>4.6100000000000003</v>
      </c>
      <c r="E19" s="12">
        <v>92</v>
      </c>
      <c r="F19" s="8">
        <v>4.0999999999999996</v>
      </c>
      <c r="G19" s="12">
        <v>112</v>
      </c>
      <c r="H19" s="8">
        <v>4.99</v>
      </c>
      <c r="I19" s="12">
        <v>0</v>
      </c>
    </row>
    <row r="20" spans="2:9" ht="15" customHeight="1" x14ac:dyDescent="0.2">
      <c r="B20" s="9" t="s">
        <v>269</v>
      </c>
      <c r="C20" s="12">
        <f>SUM(LTBL_11202[総数／事業所数])</f>
        <v>4537</v>
      </c>
      <c r="E20" s="12">
        <f>SUBTOTAL(109,LTBL_11202[個人／事業所数])</f>
        <v>2246</v>
      </c>
      <c r="G20" s="12">
        <f>SUBTOTAL(109,LTBL_11202[法人／事業所数])</f>
        <v>2246</v>
      </c>
      <c r="I20" s="12">
        <f>SUBTOTAL(109,LTBL_11202[法人以外の団体／事業所数])</f>
        <v>1</v>
      </c>
    </row>
    <row r="21" spans="2:9" ht="15" customHeight="1" x14ac:dyDescent="0.2">
      <c r="E21" s="11">
        <f>LTBL_11202[[#Totals],[個人／事業所数]]/LTBL_11202[[#Totals],[総数／事業所数]]</f>
        <v>0.4950407758430681</v>
      </c>
      <c r="G21" s="11">
        <f>LTBL_11202[[#Totals],[法人／事業所数]]/LTBL_11202[[#Totals],[総数／事業所数]]</f>
        <v>0.4950407758430681</v>
      </c>
      <c r="I21" s="11">
        <f>LTBL_11202[[#Totals],[法人以外の団体／事業所数]]/LTBL_11202[[#Totals],[総数／事業所数]]</f>
        <v>2.2040996253030638E-4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111</v>
      </c>
      <c r="C24" s="12">
        <v>484</v>
      </c>
      <c r="D24" s="8">
        <v>10.67</v>
      </c>
      <c r="E24" s="12">
        <v>393</v>
      </c>
      <c r="F24" s="8">
        <v>17.5</v>
      </c>
      <c r="G24" s="12">
        <v>91</v>
      </c>
      <c r="H24" s="8">
        <v>4.05</v>
      </c>
      <c r="I24" s="12">
        <v>0</v>
      </c>
    </row>
    <row r="25" spans="2:9" ht="15" customHeight="1" x14ac:dyDescent="0.2">
      <c r="B25" t="s">
        <v>112</v>
      </c>
      <c r="C25" s="12">
        <v>466</v>
      </c>
      <c r="D25" s="8">
        <v>10.27</v>
      </c>
      <c r="E25" s="12">
        <v>411</v>
      </c>
      <c r="F25" s="8">
        <v>18.3</v>
      </c>
      <c r="G25" s="12">
        <v>55</v>
      </c>
      <c r="H25" s="8">
        <v>2.4500000000000002</v>
      </c>
      <c r="I25" s="12">
        <v>0</v>
      </c>
    </row>
    <row r="26" spans="2:9" ht="15" customHeight="1" x14ac:dyDescent="0.2">
      <c r="B26" t="s">
        <v>97</v>
      </c>
      <c r="C26" s="12">
        <v>300</v>
      </c>
      <c r="D26" s="8">
        <v>6.61</v>
      </c>
      <c r="E26" s="12">
        <v>96</v>
      </c>
      <c r="F26" s="8">
        <v>4.2699999999999996</v>
      </c>
      <c r="G26" s="12">
        <v>204</v>
      </c>
      <c r="H26" s="8">
        <v>9.08</v>
      </c>
      <c r="I26" s="12">
        <v>0</v>
      </c>
    </row>
    <row r="27" spans="2:9" ht="15" customHeight="1" x14ac:dyDescent="0.2">
      <c r="B27" t="s">
        <v>106</v>
      </c>
      <c r="C27" s="12">
        <v>296</v>
      </c>
      <c r="D27" s="8">
        <v>6.52</v>
      </c>
      <c r="E27" s="12">
        <v>132</v>
      </c>
      <c r="F27" s="8">
        <v>5.88</v>
      </c>
      <c r="G27" s="12">
        <v>163</v>
      </c>
      <c r="H27" s="8">
        <v>7.26</v>
      </c>
      <c r="I27" s="12">
        <v>1</v>
      </c>
    </row>
    <row r="28" spans="2:9" ht="15" customHeight="1" x14ac:dyDescent="0.2">
      <c r="B28" t="s">
        <v>108</v>
      </c>
      <c r="C28" s="12">
        <v>270</v>
      </c>
      <c r="D28" s="8">
        <v>5.95</v>
      </c>
      <c r="E28" s="12">
        <v>87</v>
      </c>
      <c r="F28" s="8">
        <v>3.87</v>
      </c>
      <c r="G28" s="12">
        <v>183</v>
      </c>
      <c r="H28" s="8">
        <v>8.15</v>
      </c>
      <c r="I28" s="12">
        <v>0</v>
      </c>
    </row>
    <row r="29" spans="2:9" ht="15" customHeight="1" x14ac:dyDescent="0.2">
      <c r="B29" t="s">
        <v>98</v>
      </c>
      <c r="C29" s="12">
        <v>235</v>
      </c>
      <c r="D29" s="8">
        <v>5.18</v>
      </c>
      <c r="E29" s="12">
        <v>120</v>
      </c>
      <c r="F29" s="8">
        <v>5.34</v>
      </c>
      <c r="G29" s="12">
        <v>115</v>
      </c>
      <c r="H29" s="8">
        <v>5.12</v>
      </c>
      <c r="I29" s="12">
        <v>0</v>
      </c>
    </row>
    <row r="30" spans="2:9" ht="15" customHeight="1" x14ac:dyDescent="0.2">
      <c r="B30" t="s">
        <v>114</v>
      </c>
      <c r="C30" s="12">
        <v>210</v>
      </c>
      <c r="D30" s="8">
        <v>4.63</v>
      </c>
      <c r="E30" s="12">
        <v>146</v>
      </c>
      <c r="F30" s="8">
        <v>6.5</v>
      </c>
      <c r="G30" s="12">
        <v>37</v>
      </c>
      <c r="H30" s="8">
        <v>1.65</v>
      </c>
      <c r="I30" s="12">
        <v>0</v>
      </c>
    </row>
    <row r="31" spans="2:9" ht="15" customHeight="1" x14ac:dyDescent="0.2">
      <c r="B31" t="s">
        <v>104</v>
      </c>
      <c r="C31" s="12">
        <v>168</v>
      </c>
      <c r="D31" s="8">
        <v>3.7</v>
      </c>
      <c r="E31" s="12">
        <v>114</v>
      </c>
      <c r="F31" s="8">
        <v>5.08</v>
      </c>
      <c r="G31" s="12">
        <v>54</v>
      </c>
      <c r="H31" s="8">
        <v>2.4</v>
      </c>
      <c r="I31" s="12">
        <v>0</v>
      </c>
    </row>
    <row r="32" spans="2:9" ht="15" customHeight="1" x14ac:dyDescent="0.2">
      <c r="B32" t="s">
        <v>105</v>
      </c>
      <c r="C32" s="12">
        <v>166</v>
      </c>
      <c r="D32" s="8">
        <v>3.66</v>
      </c>
      <c r="E32" s="12">
        <v>93</v>
      </c>
      <c r="F32" s="8">
        <v>4.1399999999999997</v>
      </c>
      <c r="G32" s="12">
        <v>73</v>
      </c>
      <c r="H32" s="8">
        <v>3.25</v>
      </c>
      <c r="I32" s="12">
        <v>0</v>
      </c>
    </row>
    <row r="33" spans="2:9" ht="15" customHeight="1" x14ac:dyDescent="0.2">
      <c r="B33" t="s">
        <v>115</v>
      </c>
      <c r="C33" s="12">
        <v>165</v>
      </c>
      <c r="D33" s="8">
        <v>3.64</v>
      </c>
      <c r="E33" s="12">
        <v>148</v>
      </c>
      <c r="F33" s="8">
        <v>6.59</v>
      </c>
      <c r="G33" s="12">
        <v>17</v>
      </c>
      <c r="H33" s="8">
        <v>0.76</v>
      </c>
      <c r="I33" s="12">
        <v>0</v>
      </c>
    </row>
    <row r="34" spans="2:9" ht="15" customHeight="1" x14ac:dyDescent="0.2">
      <c r="B34" t="s">
        <v>99</v>
      </c>
      <c r="C34" s="12">
        <v>158</v>
      </c>
      <c r="D34" s="8">
        <v>3.48</v>
      </c>
      <c r="E34" s="12">
        <v>37</v>
      </c>
      <c r="F34" s="8">
        <v>1.65</v>
      </c>
      <c r="G34" s="12">
        <v>121</v>
      </c>
      <c r="H34" s="8">
        <v>5.39</v>
      </c>
      <c r="I34" s="12">
        <v>0</v>
      </c>
    </row>
    <row r="35" spans="2:9" ht="15" customHeight="1" x14ac:dyDescent="0.2">
      <c r="B35" t="s">
        <v>109</v>
      </c>
      <c r="C35" s="12">
        <v>153</v>
      </c>
      <c r="D35" s="8">
        <v>3.37</v>
      </c>
      <c r="E35" s="12">
        <v>95</v>
      </c>
      <c r="F35" s="8">
        <v>4.2300000000000004</v>
      </c>
      <c r="G35" s="12">
        <v>58</v>
      </c>
      <c r="H35" s="8">
        <v>2.58</v>
      </c>
      <c r="I35" s="12">
        <v>0</v>
      </c>
    </row>
    <row r="36" spans="2:9" ht="15" customHeight="1" x14ac:dyDescent="0.2">
      <c r="B36" t="s">
        <v>116</v>
      </c>
      <c r="C36" s="12">
        <v>109</v>
      </c>
      <c r="D36" s="8">
        <v>2.4</v>
      </c>
      <c r="E36" s="12">
        <v>75</v>
      </c>
      <c r="F36" s="8">
        <v>3.34</v>
      </c>
      <c r="G36" s="12">
        <v>34</v>
      </c>
      <c r="H36" s="8">
        <v>1.51</v>
      </c>
      <c r="I36" s="12">
        <v>0</v>
      </c>
    </row>
    <row r="37" spans="2:9" ht="15" customHeight="1" x14ac:dyDescent="0.2">
      <c r="B37" t="s">
        <v>103</v>
      </c>
      <c r="C37" s="12">
        <v>105</v>
      </c>
      <c r="D37" s="8">
        <v>2.31</v>
      </c>
      <c r="E37" s="12">
        <v>43</v>
      </c>
      <c r="F37" s="8">
        <v>1.91</v>
      </c>
      <c r="G37" s="12">
        <v>62</v>
      </c>
      <c r="H37" s="8">
        <v>2.76</v>
      </c>
      <c r="I37" s="12">
        <v>0</v>
      </c>
    </row>
    <row r="38" spans="2:9" ht="15" customHeight="1" x14ac:dyDescent="0.2">
      <c r="B38" t="s">
        <v>110</v>
      </c>
      <c r="C38" s="12">
        <v>103</v>
      </c>
      <c r="D38" s="8">
        <v>2.27</v>
      </c>
      <c r="E38" s="12">
        <v>47</v>
      </c>
      <c r="F38" s="8">
        <v>2.09</v>
      </c>
      <c r="G38" s="12">
        <v>54</v>
      </c>
      <c r="H38" s="8">
        <v>2.4</v>
      </c>
      <c r="I38" s="12">
        <v>0</v>
      </c>
    </row>
    <row r="39" spans="2:9" ht="15" customHeight="1" x14ac:dyDescent="0.2">
      <c r="B39" t="s">
        <v>102</v>
      </c>
      <c r="C39" s="12">
        <v>96</v>
      </c>
      <c r="D39" s="8">
        <v>2.12</v>
      </c>
      <c r="E39" s="12">
        <v>10</v>
      </c>
      <c r="F39" s="8">
        <v>0.45</v>
      </c>
      <c r="G39" s="12">
        <v>86</v>
      </c>
      <c r="H39" s="8">
        <v>3.83</v>
      </c>
      <c r="I39" s="12">
        <v>0</v>
      </c>
    </row>
    <row r="40" spans="2:9" ht="15" customHeight="1" x14ac:dyDescent="0.2">
      <c r="B40" t="s">
        <v>101</v>
      </c>
      <c r="C40" s="12">
        <v>77</v>
      </c>
      <c r="D40" s="8">
        <v>1.7</v>
      </c>
      <c r="E40" s="12">
        <v>10</v>
      </c>
      <c r="F40" s="8">
        <v>0.45</v>
      </c>
      <c r="G40" s="12">
        <v>67</v>
      </c>
      <c r="H40" s="8">
        <v>2.98</v>
      </c>
      <c r="I40" s="12">
        <v>0</v>
      </c>
    </row>
    <row r="41" spans="2:9" ht="15" customHeight="1" x14ac:dyDescent="0.2">
      <c r="B41" t="s">
        <v>117</v>
      </c>
      <c r="C41" s="12">
        <v>72</v>
      </c>
      <c r="D41" s="8">
        <v>1.59</v>
      </c>
      <c r="E41" s="12">
        <v>12</v>
      </c>
      <c r="F41" s="8">
        <v>0.53</v>
      </c>
      <c r="G41" s="12">
        <v>60</v>
      </c>
      <c r="H41" s="8">
        <v>2.67</v>
      </c>
      <c r="I41" s="12">
        <v>0</v>
      </c>
    </row>
    <row r="42" spans="2:9" ht="15" customHeight="1" x14ac:dyDescent="0.2">
      <c r="B42" t="s">
        <v>113</v>
      </c>
      <c r="C42" s="12">
        <v>70</v>
      </c>
      <c r="D42" s="8">
        <v>1.54</v>
      </c>
      <c r="E42" s="12">
        <v>31</v>
      </c>
      <c r="F42" s="8">
        <v>1.38</v>
      </c>
      <c r="G42" s="12">
        <v>39</v>
      </c>
      <c r="H42" s="8">
        <v>1.74</v>
      </c>
      <c r="I42" s="12">
        <v>0</v>
      </c>
    </row>
    <row r="43" spans="2:9" ht="15" customHeight="1" x14ac:dyDescent="0.2">
      <c r="B43" t="s">
        <v>107</v>
      </c>
      <c r="C43" s="12">
        <v>69</v>
      </c>
      <c r="D43" s="8">
        <v>1.52</v>
      </c>
      <c r="E43" s="12">
        <v>5</v>
      </c>
      <c r="F43" s="8">
        <v>0.22</v>
      </c>
      <c r="G43" s="12">
        <v>64</v>
      </c>
      <c r="H43" s="8">
        <v>2.85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173</v>
      </c>
      <c r="C47" s="12">
        <v>240</v>
      </c>
      <c r="D47" s="8">
        <v>5.29</v>
      </c>
      <c r="E47" s="12">
        <v>221</v>
      </c>
      <c r="F47" s="8">
        <v>9.84</v>
      </c>
      <c r="G47" s="12">
        <v>19</v>
      </c>
      <c r="H47" s="8">
        <v>0.85</v>
      </c>
      <c r="I47" s="12">
        <v>0</v>
      </c>
    </row>
    <row r="48" spans="2:9" ht="15" customHeight="1" x14ac:dyDescent="0.2">
      <c r="B48" t="s">
        <v>172</v>
      </c>
      <c r="C48" s="12">
        <v>147</v>
      </c>
      <c r="D48" s="8">
        <v>3.24</v>
      </c>
      <c r="E48" s="12">
        <v>142</v>
      </c>
      <c r="F48" s="8">
        <v>6.32</v>
      </c>
      <c r="G48" s="12">
        <v>5</v>
      </c>
      <c r="H48" s="8">
        <v>0.22</v>
      </c>
      <c r="I48" s="12">
        <v>0</v>
      </c>
    </row>
    <row r="49" spans="2:9" ht="15" customHeight="1" x14ac:dyDescent="0.2">
      <c r="B49" t="s">
        <v>170</v>
      </c>
      <c r="C49" s="12">
        <v>136</v>
      </c>
      <c r="D49" s="8">
        <v>3</v>
      </c>
      <c r="E49" s="12">
        <v>118</v>
      </c>
      <c r="F49" s="8">
        <v>5.25</v>
      </c>
      <c r="G49" s="12">
        <v>18</v>
      </c>
      <c r="H49" s="8">
        <v>0.8</v>
      </c>
      <c r="I49" s="12">
        <v>0</v>
      </c>
    </row>
    <row r="50" spans="2:9" ht="15" customHeight="1" x14ac:dyDescent="0.2">
      <c r="B50" t="s">
        <v>174</v>
      </c>
      <c r="C50" s="12">
        <v>126</v>
      </c>
      <c r="D50" s="8">
        <v>2.78</v>
      </c>
      <c r="E50" s="12">
        <v>108</v>
      </c>
      <c r="F50" s="8">
        <v>4.8099999999999996</v>
      </c>
      <c r="G50" s="12">
        <v>18</v>
      </c>
      <c r="H50" s="8">
        <v>0.8</v>
      </c>
      <c r="I50" s="12">
        <v>0</v>
      </c>
    </row>
    <row r="51" spans="2:9" ht="15" customHeight="1" x14ac:dyDescent="0.2">
      <c r="B51" t="s">
        <v>175</v>
      </c>
      <c r="C51" s="12">
        <v>122</v>
      </c>
      <c r="D51" s="8">
        <v>2.69</v>
      </c>
      <c r="E51" s="12">
        <v>111</v>
      </c>
      <c r="F51" s="8">
        <v>4.9400000000000004</v>
      </c>
      <c r="G51" s="12">
        <v>11</v>
      </c>
      <c r="H51" s="8">
        <v>0.49</v>
      </c>
      <c r="I51" s="12">
        <v>0</v>
      </c>
    </row>
    <row r="52" spans="2:9" ht="15" customHeight="1" x14ac:dyDescent="0.2">
      <c r="B52" t="s">
        <v>169</v>
      </c>
      <c r="C52" s="12">
        <v>117</v>
      </c>
      <c r="D52" s="8">
        <v>2.58</v>
      </c>
      <c r="E52" s="12">
        <v>93</v>
      </c>
      <c r="F52" s="8">
        <v>4.1399999999999997</v>
      </c>
      <c r="G52" s="12">
        <v>24</v>
      </c>
      <c r="H52" s="8">
        <v>1.07</v>
      </c>
      <c r="I52" s="12">
        <v>0</v>
      </c>
    </row>
    <row r="53" spans="2:9" ht="15" customHeight="1" x14ac:dyDescent="0.2">
      <c r="B53" t="s">
        <v>167</v>
      </c>
      <c r="C53" s="12">
        <v>115</v>
      </c>
      <c r="D53" s="8">
        <v>2.5299999999999998</v>
      </c>
      <c r="E53" s="12">
        <v>47</v>
      </c>
      <c r="F53" s="8">
        <v>2.09</v>
      </c>
      <c r="G53" s="12">
        <v>68</v>
      </c>
      <c r="H53" s="8">
        <v>3.03</v>
      </c>
      <c r="I53" s="12">
        <v>0</v>
      </c>
    </row>
    <row r="54" spans="2:9" ht="15" customHeight="1" x14ac:dyDescent="0.2">
      <c r="B54" t="s">
        <v>176</v>
      </c>
      <c r="C54" s="12">
        <v>109</v>
      </c>
      <c r="D54" s="8">
        <v>2.4</v>
      </c>
      <c r="E54" s="12">
        <v>75</v>
      </c>
      <c r="F54" s="8">
        <v>3.34</v>
      </c>
      <c r="G54" s="12">
        <v>34</v>
      </c>
      <c r="H54" s="8">
        <v>1.51</v>
      </c>
      <c r="I54" s="12">
        <v>0</v>
      </c>
    </row>
    <row r="55" spans="2:9" ht="15" customHeight="1" x14ac:dyDescent="0.2">
      <c r="B55" t="s">
        <v>159</v>
      </c>
      <c r="C55" s="12">
        <v>99</v>
      </c>
      <c r="D55" s="8">
        <v>2.1800000000000002</v>
      </c>
      <c r="E55" s="12">
        <v>56</v>
      </c>
      <c r="F55" s="8">
        <v>2.4900000000000002</v>
      </c>
      <c r="G55" s="12">
        <v>43</v>
      </c>
      <c r="H55" s="8">
        <v>1.91</v>
      </c>
      <c r="I55" s="12">
        <v>0</v>
      </c>
    </row>
    <row r="56" spans="2:9" ht="15" customHeight="1" x14ac:dyDescent="0.2">
      <c r="B56" t="s">
        <v>163</v>
      </c>
      <c r="C56" s="12">
        <v>98</v>
      </c>
      <c r="D56" s="8">
        <v>2.16</v>
      </c>
      <c r="E56" s="12">
        <v>50</v>
      </c>
      <c r="F56" s="8">
        <v>2.23</v>
      </c>
      <c r="G56" s="12">
        <v>48</v>
      </c>
      <c r="H56" s="8">
        <v>2.14</v>
      </c>
      <c r="I56" s="12">
        <v>0</v>
      </c>
    </row>
    <row r="57" spans="2:9" ht="15" customHeight="1" x14ac:dyDescent="0.2">
      <c r="B57" t="s">
        <v>164</v>
      </c>
      <c r="C57" s="12">
        <v>91</v>
      </c>
      <c r="D57" s="8">
        <v>2.0099999999999998</v>
      </c>
      <c r="E57" s="12">
        <v>52</v>
      </c>
      <c r="F57" s="8">
        <v>2.3199999999999998</v>
      </c>
      <c r="G57" s="12">
        <v>38</v>
      </c>
      <c r="H57" s="8">
        <v>1.69</v>
      </c>
      <c r="I57" s="12">
        <v>1</v>
      </c>
    </row>
    <row r="58" spans="2:9" ht="15" customHeight="1" x14ac:dyDescent="0.2">
      <c r="B58" t="s">
        <v>158</v>
      </c>
      <c r="C58" s="12">
        <v>76</v>
      </c>
      <c r="D58" s="8">
        <v>1.68</v>
      </c>
      <c r="E58" s="12">
        <v>16</v>
      </c>
      <c r="F58" s="8">
        <v>0.71</v>
      </c>
      <c r="G58" s="12">
        <v>60</v>
      </c>
      <c r="H58" s="8">
        <v>2.67</v>
      </c>
      <c r="I58" s="12">
        <v>0</v>
      </c>
    </row>
    <row r="59" spans="2:9" ht="15" customHeight="1" x14ac:dyDescent="0.2">
      <c r="B59" t="s">
        <v>157</v>
      </c>
      <c r="C59" s="12">
        <v>68</v>
      </c>
      <c r="D59" s="8">
        <v>1.5</v>
      </c>
      <c r="E59" s="12">
        <v>7</v>
      </c>
      <c r="F59" s="8">
        <v>0.31</v>
      </c>
      <c r="G59" s="12">
        <v>61</v>
      </c>
      <c r="H59" s="8">
        <v>2.72</v>
      </c>
      <c r="I59" s="12">
        <v>0</v>
      </c>
    </row>
    <row r="60" spans="2:9" ht="15" customHeight="1" x14ac:dyDescent="0.2">
      <c r="B60" t="s">
        <v>161</v>
      </c>
      <c r="C60" s="12">
        <v>68</v>
      </c>
      <c r="D60" s="8">
        <v>1.5</v>
      </c>
      <c r="E60" s="12">
        <v>14</v>
      </c>
      <c r="F60" s="8">
        <v>0.62</v>
      </c>
      <c r="G60" s="12">
        <v>54</v>
      </c>
      <c r="H60" s="8">
        <v>2.4</v>
      </c>
      <c r="I60" s="12">
        <v>0</v>
      </c>
    </row>
    <row r="61" spans="2:9" ht="15" customHeight="1" x14ac:dyDescent="0.2">
      <c r="B61" t="s">
        <v>178</v>
      </c>
      <c r="C61" s="12">
        <v>68</v>
      </c>
      <c r="D61" s="8">
        <v>1.5</v>
      </c>
      <c r="E61" s="12">
        <v>30</v>
      </c>
      <c r="F61" s="8">
        <v>1.34</v>
      </c>
      <c r="G61" s="12">
        <v>36</v>
      </c>
      <c r="H61" s="8">
        <v>1.6</v>
      </c>
      <c r="I61" s="12">
        <v>0</v>
      </c>
    </row>
    <row r="62" spans="2:9" ht="15" customHeight="1" x14ac:dyDescent="0.2">
      <c r="B62" t="s">
        <v>166</v>
      </c>
      <c r="C62" s="12">
        <v>63</v>
      </c>
      <c r="D62" s="8">
        <v>1.39</v>
      </c>
      <c r="E62" s="12">
        <v>14</v>
      </c>
      <c r="F62" s="8">
        <v>0.62</v>
      </c>
      <c r="G62" s="12">
        <v>49</v>
      </c>
      <c r="H62" s="8">
        <v>2.1800000000000002</v>
      </c>
      <c r="I62" s="12">
        <v>0</v>
      </c>
    </row>
    <row r="63" spans="2:9" ht="15" customHeight="1" x14ac:dyDescent="0.2">
      <c r="B63" t="s">
        <v>160</v>
      </c>
      <c r="C63" s="12">
        <v>62</v>
      </c>
      <c r="D63" s="8">
        <v>1.37</v>
      </c>
      <c r="E63" s="12">
        <v>21</v>
      </c>
      <c r="F63" s="8">
        <v>0.93</v>
      </c>
      <c r="G63" s="12">
        <v>41</v>
      </c>
      <c r="H63" s="8">
        <v>1.83</v>
      </c>
      <c r="I63" s="12">
        <v>0</v>
      </c>
    </row>
    <row r="64" spans="2:9" ht="15" customHeight="1" x14ac:dyDescent="0.2">
      <c r="B64" t="s">
        <v>162</v>
      </c>
      <c r="C64" s="12">
        <v>61</v>
      </c>
      <c r="D64" s="8">
        <v>1.34</v>
      </c>
      <c r="E64" s="12">
        <v>44</v>
      </c>
      <c r="F64" s="8">
        <v>1.96</v>
      </c>
      <c r="G64" s="12">
        <v>17</v>
      </c>
      <c r="H64" s="8">
        <v>0.76</v>
      </c>
      <c r="I64" s="12">
        <v>0</v>
      </c>
    </row>
    <row r="65" spans="2:9" ht="15" customHeight="1" x14ac:dyDescent="0.2">
      <c r="B65" t="s">
        <v>191</v>
      </c>
      <c r="C65" s="12">
        <v>58</v>
      </c>
      <c r="D65" s="8">
        <v>1.28</v>
      </c>
      <c r="E65" s="12">
        <v>49</v>
      </c>
      <c r="F65" s="8">
        <v>2.1800000000000002</v>
      </c>
      <c r="G65" s="12">
        <v>9</v>
      </c>
      <c r="H65" s="8">
        <v>0.4</v>
      </c>
      <c r="I65" s="12">
        <v>0</v>
      </c>
    </row>
    <row r="66" spans="2:9" ht="15" customHeight="1" x14ac:dyDescent="0.2">
      <c r="B66" t="s">
        <v>188</v>
      </c>
      <c r="C66" s="12">
        <v>57</v>
      </c>
      <c r="D66" s="8">
        <v>1.26</v>
      </c>
      <c r="E66" s="12">
        <v>39</v>
      </c>
      <c r="F66" s="8">
        <v>1.74</v>
      </c>
      <c r="G66" s="12">
        <v>18</v>
      </c>
      <c r="H66" s="8">
        <v>0.8</v>
      </c>
      <c r="I66" s="12">
        <v>0</v>
      </c>
    </row>
    <row r="68" spans="2:9" ht="15" customHeight="1" x14ac:dyDescent="0.2">
      <c r="B68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257FB-1D2D-4C06-924D-77942F0C994E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286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1900</v>
      </c>
      <c r="D6" s="8">
        <v>16.02</v>
      </c>
      <c r="E6" s="12">
        <v>222</v>
      </c>
      <c r="F6" s="8">
        <v>5.22</v>
      </c>
      <c r="G6" s="12">
        <v>1678</v>
      </c>
      <c r="H6" s="8">
        <v>22.18</v>
      </c>
      <c r="I6" s="12">
        <v>0</v>
      </c>
    </row>
    <row r="7" spans="2:9" ht="15" customHeight="1" x14ac:dyDescent="0.2">
      <c r="B7" t="s">
        <v>76</v>
      </c>
      <c r="C7" s="12">
        <v>2522</v>
      </c>
      <c r="D7" s="8">
        <v>21.26</v>
      </c>
      <c r="E7" s="12">
        <v>583</v>
      </c>
      <c r="F7" s="8">
        <v>13.7</v>
      </c>
      <c r="G7" s="12">
        <v>1938</v>
      </c>
      <c r="H7" s="8">
        <v>25.62</v>
      </c>
      <c r="I7" s="12">
        <v>1</v>
      </c>
    </row>
    <row r="8" spans="2:9" ht="15" customHeight="1" x14ac:dyDescent="0.2">
      <c r="B8" t="s">
        <v>77</v>
      </c>
      <c r="C8" s="12">
        <v>3</v>
      </c>
      <c r="D8" s="8">
        <v>0.03</v>
      </c>
      <c r="E8" s="12">
        <v>0</v>
      </c>
      <c r="F8" s="8">
        <v>0</v>
      </c>
      <c r="G8" s="12">
        <v>3</v>
      </c>
      <c r="H8" s="8">
        <v>0.04</v>
      </c>
      <c r="I8" s="12">
        <v>0</v>
      </c>
    </row>
    <row r="9" spans="2:9" ht="15" customHeight="1" x14ac:dyDescent="0.2">
      <c r="B9" t="s">
        <v>78</v>
      </c>
      <c r="C9" s="12">
        <v>103</v>
      </c>
      <c r="D9" s="8">
        <v>0.87</v>
      </c>
      <c r="E9" s="12">
        <v>4</v>
      </c>
      <c r="F9" s="8">
        <v>0.09</v>
      </c>
      <c r="G9" s="12">
        <v>99</v>
      </c>
      <c r="H9" s="8">
        <v>1.31</v>
      </c>
      <c r="I9" s="12">
        <v>0</v>
      </c>
    </row>
    <row r="10" spans="2:9" ht="15" customHeight="1" x14ac:dyDescent="0.2">
      <c r="B10" t="s">
        <v>79</v>
      </c>
      <c r="C10" s="12">
        <v>145</v>
      </c>
      <c r="D10" s="8">
        <v>1.22</v>
      </c>
      <c r="E10" s="12">
        <v>14</v>
      </c>
      <c r="F10" s="8">
        <v>0.33</v>
      </c>
      <c r="G10" s="12">
        <v>131</v>
      </c>
      <c r="H10" s="8">
        <v>1.73</v>
      </c>
      <c r="I10" s="12">
        <v>0</v>
      </c>
    </row>
    <row r="11" spans="2:9" ht="15" customHeight="1" x14ac:dyDescent="0.2">
      <c r="B11" t="s">
        <v>80</v>
      </c>
      <c r="C11" s="12">
        <v>2017</v>
      </c>
      <c r="D11" s="8">
        <v>17</v>
      </c>
      <c r="E11" s="12">
        <v>730</v>
      </c>
      <c r="F11" s="8">
        <v>17.149999999999999</v>
      </c>
      <c r="G11" s="12">
        <v>1287</v>
      </c>
      <c r="H11" s="8">
        <v>17.010000000000002</v>
      </c>
      <c r="I11" s="12">
        <v>0</v>
      </c>
    </row>
    <row r="12" spans="2:9" ht="15" customHeight="1" x14ac:dyDescent="0.2">
      <c r="B12" t="s">
        <v>81</v>
      </c>
      <c r="C12" s="12">
        <v>58</v>
      </c>
      <c r="D12" s="8">
        <v>0.49</v>
      </c>
      <c r="E12" s="12">
        <v>5</v>
      </c>
      <c r="F12" s="8">
        <v>0.12</v>
      </c>
      <c r="G12" s="12">
        <v>53</v>
      </c>
      <c r="H12" s="8">
        <v>0.7</v>
      </c>
      <c r="I12" s="12">
        <v>0</v>
      </c>
    </row>
    <row r="13" spans="2:9" ht="15" customHeight="1" x14ac:dyDescent="0.2">
      <c r="B13" t="s">
        <v>82</v>
      </c>
      <c r="C13" s="12">
        <v>1387</v>
      </c>
      <c r="D13" s="8">
        <v>11.69</v>
      </c>
      <c r="E13" s="12">
        <v>310</v>
      </c>
      <c r="F13" s="8">
        <v>7.28</v>
      </c>
      <c r="G13" s="12">
        <v>1076</v>
      </c>
      <c r="H13" s="8">
        <v>14.23</v>
      </c>
      <c r="I13" s="12">
        <v>1</v>
      </c>
    </row>
    <row r="14" spans="2:9" ht="15" customHeight="1" x14ac:dyDescent="0.2">
      <c r="B14" t="s">
        <v>83</v>
      </c>
      <c r="C14" s="12">
        <v>469</v>
      </c>
      <c r="D14" s="8">
        <v>3.95</v>
      </c>
      <c r="E14" s="12">
        <v>187</v>
      </c>
      <c r="F14" s="8">
        <v>4.3899999999999997</v>
      </c>
      <c r="G14" s="12">
        <v>282</v>
      </c>
      <c r="H14" s="8">
        <v>3.73</v>
      </c>
      <c r="I14" s="12">
        <v>0</v>
      </c>
    </row>
    <row r="15" spans="2:9" ht="15" customHeight="1" x14ac:dyDescent="0.2">
      <c r="B15" t="s">
        <v>84</v>
      </c>
      <c r="C15" s="12">
        <v>920</v>
      </c>
      <c r="D15" s="8">
        <v>7.76</v>
      </c>
      <c r="E15" s="12">
        <v>730</v>
      </c>
      <c r="F15" s="8">
        <v>17.149999999999999</v>
      </c>
      <c r="G15" s="12">
        <v>190</v>
      </c>
      <c r="H15" s="8">
        <v>2.5099999999999998</v>
      </c>
      <c r="I15" s="12">
        <v>0</v>
      </c>
    </row>
    <row r="16" spans="2:9" ht="15" customHeight="1" x14ac:dyDescent="0.2">
      <c r="B16" t="s">
        <v>85</v>
      </c>
      <c r="C16" s="12">
        <v>1141</v>
      </c>
      <c r="D16" s="8">
        <v>9.6199999999999992</v>
      </c>
      <c r="E16" s="12">
        <v>831</v>
      </c>
      <c r="F16" s="8">
        <v>19.53</v>
      </c>
      <c r="G16" s="12">
        <v>310</v>
      </c>
      <c r="H16" s="8">
        <v>4.0999999999999996</v>
      </c>
      <c r="I16" s="12">
        <v>0</v>
      </c>
    </row>
    <row r="17" spans="2:9" ht="15" customHeight="1" x14ac:dyDescent="0.2">
      <c r="B17" t="s">
        <v>86</v>
      </c>
      <c r="C17" s="12">
        <v>355</v>
      </c>
      <c r="D17" s="8">
        <v>2.99</v>
      </c>
      <c r="E17" s="12">
        <v>221</v>
      </c>
      <c r="F17" s="8">
        <v>5.19</v>
      </c>
      <c r="G17" s="12">
        <v>98</v>
      </c>
      <c r="H17" s="8">
        <v>1.3</v>
      </c>
      <c r="I17" s="12">
        <v>1</v>
      </c>
    </row>
    <row r="18" spans="2:9" ht="15" customHeight="1" x14ac:dyDescent="0.2">
      <c r="B18" t="s">
        <v>87</v>
      </c>
      <c r="C18" s="12">
        <v>499</v>
      </c>
      <c r="D18" s="8">
        <v>4.21</v>
      </c>
      <c r="E18" s="12">
        <v>334</v>
      </c>
      <c r="F18" s="8">
        <v>7.85</v>
      </c>
      <c r="G18" s="12">
        <v>165</v>
      </c>
      <c r="H18" s="8">
        <v>2.1800000000000002</v>
      </c>
      <c r="I18" s="12">
        <v>0</v>
      </c>
    </row>
    <row r="19" spans="2:9" ht="15" customHeight="1" x14ac:dyDescent="0.2">
      <c r="B19" t="s">
        <v>88</v>
      </c>
      <c r="C19" s="12">
        <v>343</v>
      </c>
      <c r="D19" s="8">
        <v>2.89</v>
      </c>
      <c r="E19" s="12">
        <v>85</v>
      </c>
      <c r="F19" s="8">
        <v>2</v>
      </c>
      <c r="G19" s="12">
        <v>254</v>
      </c>
      <c r="H19" s="8">
        <v>3.36</v>
      </c>
      <c r="I19" s="12">
        <v>1</v>
      </c>
    </row>
    <row r="20" spans="2:9" ht="15" customHeight="1" x14ac:dyDescent="0.2">
      <c r="B20" s="9" t="s">
        <v>269</v>
      </c>
      <c r="C20" s="12">
        <f>SUM(LTBL_11203[総数／事業所数])</f>
        <v>11862</v>
      </c>
      <c r="E20" s="12">
        <f>SUBTOTAL(109,LTBL_11203[個人／事業所数])</f>
        <v>4256</v>
      </c>
      <c r="G20" s="12">
        <f>SUBTOTAL(109,LTBL_11203[法人／事業所数])</f>
        <v>7564</v>
      </c>
      <c r="I20" s="12">
        <f>SUBTOTAL(109,LTBL_11203[法人以外の団体／事業所数])</f>
        <v>4</v>
      </c>
    </row>
    <row r="21" spans="2:9" ht="15" customHeight="1" x14ac:dyDescent="0.2">
      <c r="E21" s="11">
        <f>LTBL_11203[[#Totals],[個人／事業所数]]/LTBL_11203[[#Totals],[総数／事業所数]]</f>
        <v>0.35879278367897488</v>
      </c>
      <c r="G21" s="11">
        <f>LTBL_11203[[#Totals],[法人／事業所数]]/LTBL_11203[[#Totals],[総数／事業所数]]</f>
        <v>0.63766649806103526</v>
      </c>
      <c r="I21" s="11">
        <f>LTBL_11203[[#Totals],[法人以外の団体／事業所数]]/LTBL_11203[[#Totals],[総数／事業所数]]</f>
        <v>3.3721126285617939E-4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108</v>
      </c>
      <c r="C24" s="12">
        <v>1140</v>
      </c>
      <c r="D24" s="8">
        <v>9.61</v>
      </c>
      <c r="E24" s="12">
        <v>280</v>
      </c>
      <c r="F24" s="8">
        <v>6.58</v>
      </c>
      <c r="G24" s="12">
        <v>859</v>
      </c>
      <c r="H24" s="8">
        <v>11.36</v>
      </c>
      <c r="I24" s="12">
        <v>1</v>
      </c>
    </row>
    <row r="25" spans="2:9" ht="15" customHeight="1" x14ac:dyDescent="0.2">
      <c r="B25" t="s">
        <v>112</v>
      </c>
      <c r="C25" s="12">
        <v>926</v>
      </c>
      <c r="D25" s="8">
        <v>7.81</v>
      </c>
      <c r="E25" s="12">
        <v>748</v>
      </c>
      <c r="F25" s="8">
        <v>17.579999999999998</v>
      </c>
      <c r="G25" s="12">
        <v>178</v>
      </c>
      <c r="H25" s="8">
        <v>2.35</v>
      </c>
      <c r="I25" s="12">
        <v>0</v>
      </c>
    </row>
    <row r="26" spans="2:9" ht="15" customHeight="1" x14ac:dyDescent="0.2">
      <c r="B26" t="s">
        <v>111</v>
      </c>
      <c r="C26" s="12">
        <v>854</v>
      </c>
      <c r="D26" s="8">
        <v>7.2</v>
      </c>
      <c r="E26" s="12">
        <v>710</v>
      </c>
      <c r="F26" s="8">
        <v>16.68</v>
      </c>
      <c r="G26" s="12">
        <v>144</v>
      </c>
      <c r="H26" s="8">
        <v>1.9</v>
      </c>
      <c r="I26" s="12">
        <v>0</v>
      </c>
    </row>
    <row r="27" spans="2:9" ht="15" customHeight="1" x14ac:dyDescent="0.2">
      <c r="B27" t="s">
        <v>98</v>
      </c>
      <c r="C27" s="12">
        <v>729</v>
      </c>
      <c r="D27" s="8">
        <v>6.15</v>
      </c>
      <c r="E27" s="12">
        <v>96</v>
      </c>
      <c r="F27" s="8">
        <v>2.2599999999999998</v>
      </c>
      <c r="G27" s="12">
        <v>633</v>
      </c>
      <c r="H27" s="8">
        <v>8.3699999999999992</v>
      </c>
      <c r="I27" s="12">
        <v>0</v>
      </c>
    </row>
    <row r="28" spans="2:9" ht="15" customHeight="1" x14ac:dyDescent="0.2">
      <c r="B28" t="s">
        <v>97</v>
      </c>
      <c r="C28" s="12">
        <v>591</v>
      </c>
      <c r="D28" s="8">
        <v>4.9800000000000004</v>
      </c>
      <c r="E28" s="12">
        <v>55</v>
      </c>
      <c r="F28" s="8">
        <v>1.29</v>
      </c>
      <c r="G28" s="12">
        <v>536</v>
      </c>
      <c r="H28" s="8">
        <v>7.09</v>
      </c>
      <c r="I28" s="12">
        <v>0</v>
      </c>
    </row>
    <row r="29" spans="2:9" ht="15" customHeight="1" x14ac:dyDescent="0.2">
      <c r="B29" t="s">
        <v>99</v>
      </c>
      <c r="C29" s="12">
        <v>580</v>
      </c>
      <c r="D29" s="8">
        <v>4.8899999999999997</v>
      </c>
      <c r="E29" s="12">
        <v>71</v>
      </c>
      <c r="F29" s="8">
        <v>1.67</v>
      </c>
      <c r="G29" s="12">
        <v>509</v>
      </c>
      <c r="H29" s="8">
        <v>6.73</v>
      </c>
      <c r="I29" s="12">
        <v>0</v>
      </c>
    </row>
    <row r="30" spans="2:9" ht="15" customHeight="1" x14ac:dyDescent="0.2">
      <c r="B30" t="s">
        <v>100</v>
      </c>
      <c r="C30" s="12">
        <v>519</v>
      </c>
      <c r="D30" s="8">
        <v>4.38</v>
      </c>
      <c r="E30" s="12">
        <v>118</v>
      </c>
      <c r="F30" s="8">
        <v>2.77</v>
      </c>
      <c r="G30" s="12">
        <v>401</v>
      </c>
      <c r="H30" s="8">
        <v>5.3</v>
      </c>
      <c r="I30" s="12">
        <v>0</v>
      </c>
    </row>
    <row r="31" spans="2:9" ht="15" customHeight="1" x14ac:dyDescent="0.2">
      <c r="B31" t="s">
        <v>106</v>
      </c>
      <c r="C31" s="12">
        <v>512</v>
      </c>
      <c r="D31" s="8">
        <v>4.32</v>
      </c>
      <c r="E31" s="12">
        <v>247</v>
      </c>
      <c r="F31" s="8">
        <v>5.8</v>
      </c>
      <c r="G31" s="12">
        <v>265</v>
      </c>
      <c r="H31" s="8">
        <v>3.5</v>
      </c>
      <c r="I31" s="12">
        <v>0</v>
      </c>
    </row>
    <row r="32" spans="2:9" ht="15" customHeight="1" x14ac:dyDescent="0.2">
      <c r="B32" t="s">
        <v>120</v>
      </c>
      <c r="C32" s="12">
        <v>468</v>
      </c>
      <c r="D32" s="8">
        <v>3.95</v>
      </c>
      <c r="E32" s="12">
        <v>70</v>
      </c>
      <c r="F32" s="8">
        <v>1.64</v>
      </c>
      <c r="G32" s="12">
        <v>398</v>
      </c>
      <c r="H32" s="8">
        <v>5.26</v>
      </c>
      <c r="I32" s="12">
        <v>0</v>
      </c>
    </row>
    <row r="33" spans="2:9" ht="15" customHeight="1" x14ac:dyDescent="0.2">
      <c r="B33" t="s">
        <v>115</v>
      </c>
      <c r="C33" s="12">
        <v>383</v>
      </c>
      <c r="D33" s="8">
        <v>3.23</v>
      </c>
      <c r="E33" s="12">
        <v>331</v>
      </c>
      <c r="F33" s="8">
        <v>7.78</v>
      </c>
      <c r="G33" s="12">
        <v>52</v>
      </c>
      <c r="H33" s="8">
        <v>0.69</v>
      </c>
      <c r="I33" s="12">
        <v>0</v>
      </c>
    </row>
    <row r="34" spans="2:9" ht="15" customHeight="1" x14ac:dyDescent="0.2">
      <c r="B34" t="s">
        <v>114</v>
      </c>
      <c r="C34" s="12">
        <v>355</v>
      </c>
      <c r="D34" s="8">
        <v>2.99</v>
      </c>
      <c r="E34" s="12">
        <v>221</v>
      </c>
      <c r="F34" s="8">
        <v>5.19</v>
      </c>
      <c r="G34" s="12">
        <v>98</v>
      </c>
      <c r="H34" s="8">
        <v>1.3</v>
      </c>
      <c r="I34" s="12">
        <v>1</v>
      </c>
    </row>
    <row r="35" spans="2:9" ht="15" customHeight="1" x14ac:dyDescent="0.2">
      <c r="B35" t="s">
        <v>104</v>
      </c>
      <c r="C35" s="12">
        <v>343</v>
      </c>
      <c r="D35" s="8">
        <v>2.89</v>
      </c>
      <c r="E35" s="12">
        <v>233</v>
      </c>
      <c r="F35" s="8">
        <v>5.47</v>
      </c>
      <c r="G35" s="12">
        <v>110</v>
      </c>
      <c r="H35" s="8">
        <v>1.45</v>
      </c>
      <c r="I35" s="12">
        <v>0</v>
      </c>
    </row>
    <row r="36" spans="2:9" ht="15" customHeight="1" x14ac:dyDescent="0.2">
      <c r="B36" t="s">
        <v>109</v>
      </c>
      <c r="C36" s="12">
        <v>271</v>
      </c>
      <c r="D36" s="8">
        <v>2.2799999999999998</v>
      </c>
      <c r="E36" s="12">
        <v>142</v>
      </c>
      <c r="F36" s="8">
        <v>3.34</v>
      </c>
      <c r="G36" s="12">
        <v>129</v>
      </c>
      <c r="H36" s="8">
        <v>1.71</v>
      </c>
      <c r="I36" s="12">
        <v>0</v>
      </c>
    </row>
    <row r="37" spans="2:9" ht="15" customHeight="1" x14ac:dyDescent="0.2">
      <c r="B37" t="s">
        <v>105</v>
      </c>
      <c r="C37" s="12">
        <v>226</v>
      </c>
      <c r="D37" s="8">
        <v>1.91</v>
      </c>
      <c r="E37" s="12">
        <v>81</v>
      </c>
      <c r="F37" s="8">
        <v>1.9</v>
      </c>
      <c r="G37" s="12">
        <v>145</v>
      </c>
      <c r="H37" s="8">
        <v>1.92</v>
      </c>
      <c r="I37" s="12">
        <v>0</v>
      </c>
    </row>
    <row r="38" spans="2:9" ht="15" customHeight="1" x14ac:dyDescent="0.2">
      <c r="B38" t="s">
        <v>125</v>
      </c>
      <c r="C38" s="12">
        <v>222</v>
      </c>
      <c r="D38" s="8">
        <v>1.87</v>
      </c>
      <c r="E38" s="12">
        <v>76</v>
      </c>
      <c r="F38" s="8">
        <v>1.79</v>
      </c>
      <c r="G38" s="12">
        <v>145</v>
      </c>
      <c r="H38" s="8">
        <v>1.92</v>
      </c>
      <c r="I38" s="12">
        <v>1</v>
      </c>
    </row>
    <row r="39" spans="2:9" ht="15" customHeight="1" x14ac:dyDescent="0.2">
      <c r="B39" t="s">
        <v>126</v>
      </c>
      <c r="C39" s="12">
        <v>213</v>
      </c>
      <c r="D39" s="8">
        <v>1.8</v>
      </c>
      <c r="E39" s="12">
        <v>73</v>
      </c>
      <c r="F39" s="8">
        <v>1.72</v>
      </c>
      <c r="G39" s="12">
        <v>140</v>
      </c>
      <c r="H39" s="8">
        <v>1.85</v>
      </c>
      <c r="I39" s="12">
        <v>0</v>
      </c>
    </row>
    <row r="40" spans="2:9" ht="15" customHeight="1" x14ac:dyDescent="0.2">
      <c r="B40" t="s">
        <v>102</v>
      </c>
      <c r="C40" s="12">
        <v>210</v>
      </c>
      <c r="D40" s="8">
        <v>1.77</v>
      </c>
      <c r="E40" s="12">
        <v>20</v>
      </c>
      <c r="F40" s="8">
        <v>0.47</v>
      </c>
      <c r="G40" s="12">
        <v>190</v>
      </c>
      <c r="H40" s="8">
        <v>2.5099999999999998</v>
      </c>
      <c r="I40" s="12">
        <v>0</v>
      </c>
    </row>
    <row r="41" spans="2:9" ht="15" customHeight="1" x14ac:dyDescent="0.2">
      <c r="B41" t="s">
        <v>107</v>
      </c>
      <c r="C41" s="12">
        <v>201</v>
      </c>
      <c r="D41" s="8">
        <v>1.69</v>
      </c>
      <c r="E41" s="12">
        <v>29</v>
      </c>
      <c r="F41" s="8">
        <v>0.68</v>
      </c>
      <c r="G41" s="12">
        <v>172</v>
      </c>
      <c r="H41" s="8">
        <v>2.27</v>
      </c>
      <c r="I41" s="12">
        <v>0</v>
      </c>
    </row>
    <row r="42" spans="2:9" ht="15" customHeight="1" x14ac:dyDescent="0.2">
      <c r="B42" t="s">
        <v>101</v>
      </c>
      <c r="C42" s="12">
        <v>191</v>
      </c>
      <c r="D42" s="8">
        <v>1.61</v>
      </c>
      <c r="E42" s="12">
        <v>21</v>
      </c>
      <c r="F42" s="8">
        <v>0.49</v>
      </c>
      <c r="G42" s="12">
        <v>170</v>
      </c>
      <c r="H42" s="8">
        <v>2.25</v>
      </c>
      <c r="I42" s="12">
        <v>0</v>
      </c>
    </row>
    <row r="43" spans="2:9" ht="15" customHeight="1" x14ac:dyDescent="0.2">
      <c r="B43" t="s">
        <v>117</v>
      </c>
      <c r="C43" s="12">
        <v>177</v>
      </c>
      <c r="D43" s="8">
        <v>1.49</v>
      </c>
      <c r="E43" s="12">
        <v>25</v>
      </c>
      <c r="F43" s="8">
        <v>0.59</v>
      </c>
      <c r="G43" s="12">
        <v>152</v>
      </c>
      <c r="H43" s="8">
        <v>2.0099999999999998</v>
      </c>
      <c r="I43" s="12">
        <v>0</v>
      </c>
    </row>
    <row r="44" spans="2:9" ht="15" customHeight="1" x14ac:dyDescent="0.2">
      <c r="B44" t="s">
        <v>110</v>
      </c>
      <c r="C44" s="12">
        <v>177</v>
      </c>
      <c r="D44" s="8">
        <v>1.49</v>
      </c>
      <c r="E44" s="12">
        <v>45</v>
      </c>
      <c r="F44" s="8">
        <v>1.06</v>
      </c>
      <c r="G44" s="12">
        <v>132</v>
      </c>
      <c r="H44" s="8">
        <v>1.75</v>
      </c>
      <c r="I44" s="12">
        <v>0</v>
      </c>
    </row>
    <row r="47" spans="2:9" ht="33" customHeight="1" x14ac:dyDescent="0.2">
      <c r="B47" t="s">
        <v>271</v>
      </c>
      <c r="C47" s="10" t="s">
        <v>90</v>
      </c>
      <c r="D47" s="10" t="s">
        <v>91</v>
      </c>
      <c r="E47" s="10" t="s">
        <v>92</v>
      </c>
      <c r="F47" s="10" t="s">
        <v>93</v>
      </c>
      <c r="G47" s="10" t="s">
        <v>94</v>
      </c>
      <c r="H47" s="10" t="s">
        <v>95</v>
      </c>
      <c r="I47" s="10" t="s">
        <v>96</v>
      </c>
    </row>
    <row r="48" spans="2:9" ht="15" customHeight="1" x14ac:dyDescent="0.2">
      <c r="B48" t="s">
        <v>167</v>
      </c>
      <c r="C48" s="12">
        <v>590</v>
      </c>
      <c r="D48" s="8">
        <v>4.97</v>
      </c>
      <c r="E48" s="12">
        <v>210</v>
      </c>
      <c r="F48" s="8">
        <v>4.93</v>
      </c>
      <c r="G48" s="12">
        <v>380</v>
      </c>
      <c r="H48" s="8">
        <v>5.0199999999999996</v>
      </c>
      <c r="I48" s="12">
        <v>0</v>
      </c>
    </row>
    <row r="49" spans="2:9" ht="15" customHeight="1" x14ac:dyDescent="0.2">
      <c r="B49" t="s">
        <v>173</v>
      </c>
      <c r="C49" s="12">
        <v>406</v>
      </c>
      <c r="D49" s="8">
        <v>3.42</v>
      </c>
      <c r="E49" s="12">
        <v>339</v>
      </c>
      <c r="F49" s="8">
        <v>7.97</v>
      </c>
      <c r="G49" s="12">
        <v>67</v>
      </c>
      <c r="H49" s="8">
        <v>0.89</v>
      </c>
      <c r="I49" s="12">
        <v>0</v>
      </c>
    </row>
    <row r="50" spans="2:9" ht="15" customHeight="1" x14ac:dyDescent="0.2">
      <c r="B50" t="s">
        <v>172</v>
      </c>
      <c r="C50" s="12">
        <v>289</v>
      </c>
      <c r="D50" s="8">
        <v>2.44</v>
      </c>
      <c r="E50" s="12">
        <v>276</v>
      </c>
      <c r="F50" s="8">
        <v>6.48</v>
      </c>
      <c r="G50" s="12">
        <v>13</v>
      </c>
      <c r="H50" s="8">
        <v>0.17</v>
      </c>
      <c r="I50" s="12">
        <v>0</v>
      </c>
    </row>
    <row r="51" spans="2:9" ht="15" customHeight="1" x14ac:dyDescent="0.2">
      <c r="B51" t="s">
        <v>169</v>
      </c>
      <c r="C51" s="12">
        <v>283</v>
      </c>
      <c r="D51" s="8">
        <v>2.39</v>
      </c>
      <c r="E51" s="12">
        <v>223</v>
      </c>
      <c r="F51" s="8">
        <v>5.24</v>
      </c>
      <c r="G51" s="12">
        <v>60</v>
      </c>
      <c r="H51" s="8">
        <v>0.79</v>
      </c>
      <c r="I51" s="12">
        <v>0</v>
      </c>
    </row>
    <row r="52" spans="2:9" ht="15" customHeight="1" x14ac:dyDescent="0.2">
      <c r="B52" t="s">
        <v>166</v>
      </c>
      <c r="C52" s="12">
        <v>267</v>
      </c>
      <c r="D52" s="8">
        <v>2.25</v>
      </c>
      <c r="E52" s="12">
        <v>23</v>
      </c>
      <c r="F52" s="8">
        <v>0.54</v>
      </c>
      <c r="G52" s="12">
        <v>244</v>
      </c>
      <c r="H52" s="8">
        <v>3.23</v>
      </c>
      <c r="I52" s="12">
        <v>0</v>
      </c>
    </row>
    <row r="53" spans="2:9" ht="15" customHeight="1" x14ac:dyDescent="0.2">
      <c r="B53" t="s">
        <v>175</v>
      </c>
      <c r="C53" s="12">
        <v>264</v>
      </c>
      <c r="D53" s="8">
        <v>2.23</v>
      </c>
      <c r="E53" s="12">
        <v>229</v>
      </c>
      <c r="F53" s="8">
        <v>5.38</v>
      </c>
      <c r="G53" s="12">
        <v>35</v>
      </c>
      <c r="H53" s="8">
        <v>0.46</v>
      </c>
      <c r="I53" s="12">
        <v>0</v>
      </c>
    </row>
    <row r="54" spans="2:9" ht="15" customHeight="1" x14ac:dyDescent="0.2">
      <c r="B54" t="s">
        <v>170</v>
      </c>
      <c r="C54" s="12">
        <v>253</v>
      </c>
      <c r="D54" s="8">
        <v>2.13</v>
      </c>
      <c r="E54" s="12">
        <v>230</v>
      </c>
      <c r="F54" s="8">
        <v>5.4</v>
      </c>
      <c r="G54" s="12">
        <v>23</v>
      </c>
      <c r="H54" s="8">
        <v>0.3</v>
      </c>
      <c r="I54" s="12">
        <v>0</v>
      </c>
    </row>
    <row r="55" spans="2:9" ht="15" customHeight="1" x14ac:dyDescent="0.2">
      <c r="B55" t="s">
        <v>200</v>
      </c>
      <c r="C55" s="12">
        <v>240</v>
      </c>
      <c r="D55" s="8">
        <v>2.02</v>
      </c>
      <c r="E55" s="12">
        <v>53</v>
      </c>
      <c r="F55" s="8">
        <v>1.25</v>
      </c>
      <c r="G55" s="12">
        <v>187</v>
      </c>
      <c r="H55" s="8">
        <v>2.4700000000000002</v>
      </c>
      <c r="I55" s="12">
        <v>0</v>
      </c>
    </row>
    <row r="56" spans="2:9" ht="15" customHeight="1" x14ac:dyDescent="0.2">
      <c r="B56" t="s">
        <v>160</v>
      </c>
      <c r="C56" s="12">
        <v>232</v>
      </c>
      <c r="D56" s="8">
        <v>1.96</v>
      </c>
      <c r="E56" s="12">
        <v>40</v>
      </c>
      <c r="F56" s="8">
        <v>0.94</v>
      </c>
      <c r="G56" s="12">
        <v>192</v>
      </c>
      <c r="H56" s="8">
        <v>2.54</v>
      </c>
      <c r="I56" s="12">
        <v>0</v>
      </c>
    </row>
    <row r="57" spans="2:9" ht="15" customHeight="1" x14ac:dyDescent="0.2">
      <c r="B57" t="s">
        <v>161</v>
      </c>
      <c r="C57" s="12">
        <v>218</v>
      </c>
      <c r="D57" s="8">
        <v>1.84</v>
      </c>
      <c r="E57" s="12">
        <v>29</v>
      </c>
      <c r="F57" s="8">
        <v>0.68</v>
      </c>
      <c r="G57" s="12">
        <v>189</v>
      </c>
      <c r="H57" s="8">
        <v>2.5</v>
      </c>
      <c r="I57" s="12">
        <v>0</v>
      </c>
    </row>
    <row r="58" spans="2:9" ht="15" customHeight="1" x14ac:dyDescent="0.2">
      <c r="B58" t="s">
        <v>174</v>
      </c>
      <c r="C58" s="12">
        <v>207</v>
      </c>
      <c r="D58" s="8">
        <v>1.75</v>
      </c>
      <c r="E58" s="12">
        <v>154</v>
      </c>
      <c r="F58" s="8">
        <v>3.62</v>
      </c>
      <c r="G58" s="12">
        <v>52</v>
      </c>
      <c r="H58" s="8">
        <v>0.69</v>
      </c>
      <c r="I58" s="12">
        <v>1</v>
      </c>
    </row>
    <row r="59" spans="2:9" ht="15" customHeight="1" x14ac:dyDescent="0.2">
      <c r="B59" t="s">
        <v>168</v>
      </c>
      <c r="C59" s="12">
        <v>187</v>
      </c>
      <c r="D59" s="8">
        <v>1.58</v>
      </c>
      <c r="E59" s="12">
        <v>5</v>
      </c>
      <c r="F59" s="8">
        <v>0.12</v>
      </c>
      <c r="G59" s="12">
        <v>181</v>
      </c>
      <c r="H59" s="8">
        <v>2.39</v>
      </c>
      <c r="I59" s="12">
        <v>1</v>
      </c>
    </row>
    <row r="60" spans="2:9" ht="15" customHeight="1" x14ac:dyDescent="0.2">
      <c r="B60" t="s">
        <v>164</v>
      </c>
      <c r="C60" s="12">
        <v>182</v>
      </c>
      <c r="D60" s="8">
        <v>1.53</v>
      </c>
      <c r="E60" s="12">
        <v>116</v>
      </c>
      <c r="F60" s="8">
        <v>2.73</v>
      </c>
      <c r="G60" s="12">
        <v>66</v>
      </c>
      <c r="H60" s="8">
        <v>0.87</v>
      </c>
      <c r="I60" s="12">
        <v>0</v>
      </c>
    </row>
    <row r="61" spans="2:9" ht="15" customHeight="1" x14ac:dyDescent="0.2">
      <c r="B61" t="s">
        <v>158</v>
      </c>
      <c r="C61" s="12">
        <v>169</v>
      </c>
      <c r="D61" s="8">
        <v>1.42</v>
      </c>
      <c r="E61" s="12">
        <v>13</v>
      </c>
      <c r="F61" s="8">
        <v>0.31</v>
      </c>
      <c r="G61" s="12">
        <v>156</v>
      </c>
      <c r="H61" s="8">
        <v>2.06</v>
      </c>
      <c r="I61" s="12">
        <v>0</v>
      </c>
    </row>
    <row r="62" spans="2:9" ht="15" customHeight="1" x14ac:dyDescent="0.2">
      <c r="B62" t="s">
        <v>197</v>
      </c>
      <c r="C62" s="12">
        <v>160</v>
      </c>
      <c r="D62" s="8">
        <v>1.35</v>
      </c>
      <c r="E62" s="12">
        <v>20</v>
      </c>
      <c r="F62" s="8">
        <v>0.47</v>
      </c>
      <c r="G62" s="12">
        <v>140</v>
      </c>
      <c r="H62" s="8">
        <v>1.85</v>
      </c>
      <c r="I62" s="12">
        <v>0</v>
      </c>
    </row>
    <row r="63" spans="2:9" ht="15" customHeight="1" x14ac:dyDescent="0.2">
      <c r="B63" t="s">
        <v>182</v>
      </c>
      <c r="C63" s="12">
        <v>160</v>
      </c>
      <c r="D63" s="8">
        <v>1.35</v>
      </c>
      <c r="E63" s="12">
        <v>19</v>
      </c>
      <c r="F63" s="8">
        <v>0.45</v>
      </c>
      <c r="G63" s="12">
        <v>141</v>
      </c>
      <c r="H63" s="8">
        <v>1.86</v>
      </c>
      <c r="I63" s="12">
        <v>0</v>
      </c>
    </row>
    <row r="64" spans="2:9" ht="15" customHeight="1" x14ac:dyDescent="0.2">
      <c r="B64" t="s">
        <v>157</v>
      </c>
      <c r="C64" s="12">
        <v>158</v>
      </c>
      <c r="D64" s="8">
        <v>1.33</v>
      </c>
      <c r="E64" s="12">
        <v>10</v>
      </c>
      <c r="F64" s="8">
        <v>0.23</v>
      </c>
      <c r="G64" s="12">
        <v>148</v>
      </c>
      <c r="H64" s="8">
        <v>1.96</v>
      </c>
      <c r="I64" s="12">
        <v>0</v>
      </c>
    </row>
    <row r="65" spans="2:9" ht="15" customHeight="1" x14ac:dyDescent="0.2">
      <c r="B65" t="s">
        <v>171</v>
      </c>
      <c r="C65" s="12">
        <v>153</v>
      </c>
      <c r="D65" s="8">
        <v>1.29</v>
      </c>
      <c r="E65" s="12">
        <v>97</v>
      </c>
      <c r="F65" s="8">
        <v>2.2799999999999998</v>
      </c>
      <c r="G65" s="12">
        <v>56</v>
      </c>
      <c r="H65" s="8">
        <v>0.74</v>
      </c>
      <c r="I65" s="12">
        <v>0</v>
      </c>
    </row>
    <row r="66" spans="2:9" ht="15" customHeight="1" x14ac:dyDescent="0.2">
      <c r="B66" t="s">
        <v>165</v>
      </c>
      <c r="C66" s="12">
        <v>151</v>
      </c>
      <c r="D66" s="8">
        <v>1.27</v>
      </c>
      <c r="E66" s="12">
        <v>25</v>
      </c>
      <c r="F66" s="8">
        <v>0.59</v>
      </c>
      <c r="G66" s="12">
        <v>126</v>
      </c>
      <c r="H66" s="8">
        <v>1.67</v>
      </c>
      <c r="I66" s="12">
        <v>0</v>
      </c>
    </row>
    <row r="67" spans="2:9" ht="15" customHeight="1" x14ac:dyDescent="0.2">
      <c r="B67" t="s">
        <v>177</v>
      </c>
      <c r="C67" s="12">
        <v>147</v>
      </c>
      <c r="D67" s="8">
        <v>1.24</v>
      </c>
      <c r="E67" s="12">
        <v>21</v>
      </c>
      <c r="F67" s="8">
        <v>0.49</v>
      </c>
      <c r="G67" s="12">
        <v>126</v>
      </c>
      <c r="H67" s="8">
        <v>1.67</v>
      </c>
      <c r="I67" s="12">
        <v>0</v>
      </c>
    </row>
    <row r="69" spans="2:9" ht="15" customHeight="1" x14ac:dyDescent="0.2">
      <c r="B69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9AB72-57D5-41CD-91DB-EA66901F59BF}">
  <sheetPr>
    <pageSetUpPr fitToPage="1"/>
  </sheetPr>
  <dimension ref="A1:H1185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89</v>
      </c>
      <c r="B1" s="7" t="s">
        <v>90</v>
      </c>
      <c r="C1" s="7" t="s">
        <v>91</v>
      </c>
      <c r="D1" s="7" t="s">
        <v>92</v>
      </c>
      <c r="E1" s="7" t="s">
        <v>93</v>
      </c>
      <c r="F1" s="7" t="s">
        <v>94</v>
      </c>
      <c r="G1" s="7" t="s">
        <v>95</v>
      </c>
      <c r="H1" s="7" t="s">
        <v>96</v>
      </c>
    </row>
    <row r="2" spans="1:8" x14ac:dyDescent="0.2">
      <c r="A2" s="1" t="s">
        <v>0</v>
      </c>
      <c r="B2" s="4">
        <v>133284</v>
      </c>
      <c r="C2" s="5">
        <v>100.00999999999999</v>
      </c>
      <c r="D2" s="4">
        <v>57471</v>
      </c>
      <c r="E2" s="5">
        <v>99.98</v>
      </c>
      <c r="F2" s="4">
        <v>75069</v>
      </c>
      <c r="G2" s="5">
        <v>100.00000000000003</v>
      </c>
      <c r="H2" s="4">
        <v>115</v>
      </c>
    </row>
    <row r="3" spans="1:8" x14ac:dyDescent="0.2">
      <c r="A3" s="2" t="s">
        <v>74</v>
      </c>
      <c r="B3" s="4">
        <v>7</v>
      </c>
      <c r="C3" s="5">
        <v>0.01</v>
      </c>
      <c r="D3" s="4">
        <v>0</v>
      </c>
      <c r="E3" s="5">
        <v>0</v>
      </c>
      <c r="F3" s="4">
        <v>7</v>
      </c>
      <c r="G3" s="5">
        <v>0.01</v>
      </c>
      <c r="H3" s="4">
        <v>0</v>
      </c>
    </row>
    <row r="4" spans="1:8" x14ac:dyDescent="0.2">
      <c r="A4" s="2" t="s">
        <v>75</v>
      </c>
      <c r="B4" s="4">
        <v>21221</v>
      </c>
      <c r="C4" s="5">
        <v>15.92</v>
      </c>
      <c r="D4" s="4">
        <v>4892</v>
      </c>
      <c r="E4" s="5">
        <v>8.51</v>
      </c>
      <c r="F4" s="4">
        <v>16326</v>
      </c>
      <c r="G4" s="5">
        <v>21.75</v>
      </c>
      <c r="H4" s="4">
        <v>3</v>
      </c>
    </row>
    <row r="5" spans="1:8" x14ac:dyDescent="0.2">
      <c r="A5" s="2" t="s">
        <v>76</v>
      </c>
      <c r="B5" s="4">
        <v>15868</v>
      </c>
      <c r="C5" s="5">
        <v>11.91</v>
      </c>
      <c r="D5" s="4">
        <v>4342</v>
      </c>
      <c r="E5" s="5">
        <v>7.56</v>
      </c>
      <c r="F5" s="4">
        <v>11523</v>
      </c>
      <c r="G5" s="5">
        <v>15.35</v>
      </c>
      <c r="H5" s="4">
        <v>2</v>
      </c>
    </row>
    <row r="6" spans="1:8" x14ac:dyDescent="0.2">
      <c r="A6" s="2" t="s">
        <v>77</v>
      </c>
      <c r="B6" s="4">
        <v>129</v>
      </c>
      <c r="C6" s="5">
        <v>0.1</v>
      </c>
      <c r="D6" s="4">
        <v>1</v>
      </c>
      <c r="E6" s="5">
        <v>0</v>
      </c>
      <c r="F6" s="4">
        <v>118</v>
      </c>
      <c r="G6" s="5">
        <v>0.16</v>
      </c>
      <c r="H6" s="4">
        <v>0</v>
      </c>
    </row>
    <row r="7" spans="1:8" x14ac:dyDescent="0.2">
      <c r="A7" s="2" t="s">
        <v>78</v>
      </c>
      <c r="B7" s="4">
        <v>1485</v>
      </c>
      <c r="C7" s="5">
        <v>1.1100000000000001</v>
      </c>
      <c r="D7" s="4">
        <v>60</v>
      </c>
      <c r="E7" s="5">
        <v>0.1</v>
      </c>
      <c r="F7" s="4">
        <v>1421</v>
      </c>
      <c r="G7" s="5">
        <v>1.89</v>
      </c>
      <c r="H7" s="4">
        <v>4</v>
      </c>
    </row>
    <row r="8" spans="1:8" x14ac:dyDescent="0.2">
      <c r="A8" s="2" t="s">
        <v>79</v>
      </c>
      <c r="B8" s="4">
        <v>1507</v>
      </c>
      <c r="C8" s="5">
        <v>1.1299999999999999</v>
      </c>
      <c r="D8" s="4">
        <v>143</v>
      </c>
      <c r="E8" s="5">
        <v>0.25</v>
      </c>
      <c r="F8" s="4">
        <v>1361</v>
      </c>
      <c r="G8" s="5">
        <v>1.81</v>
      </c>
      <c r="H8" s="4">
        <v>0</v>
      </c>
    </row>
    <row r="9" spans="1:8" x14ac:dyDescent="0.2">
      <c r="A9" s="2" t="s">
        <v>80</v>
      </c>
      <c r="B9" s="4">
        <v>25935</v>
      </c>
      <c r="C9" s="5">
        <v>19.46</v>
      </c>
      <c r="D9" s="4">
        <v>10114</v>
      </c>
      <c r="E9" s="5">
        <v>17.600000000000001</v>
      </c>
      <c r="F9" s="4">
        <v>15809</v>
      </c>
      <c r="G9" s="5">
        <v>21.06</v>
      </c>
      <c r="H9" s="4">
        <v>12</v>
      </c>
    </row>
    <row r="10" spans="1:8" x14ac:dyDescent="0.2">
      <c r="A10" s="2" t="s">
        <v>81</v>
      </c>
      <c r="B10" s="4">
        <v>736</v>
      </c>
      <c r="C10" s="5">
        <v>0.55000000000000004</v>
      </c>
      <c r="D10" s="4">
        <v>106</v>
      </c>
      <c r="E10" s="5">
        <v>0.18</v>
      </c>
      <c r="F10" s="4">
        <v>629</v>
      </c>
      <c r="G10" s="5">
        <v>0.84</v>
      </c>
      <c r="H10" s="4">
        <v>0</v>
      </c>
    </row>
    <row r="11" spans="1:8" x14ac:dyDescent="0.2">
      <c r="A11" s="2" t="s">
        <v>82</v>
      </c>
      <c r="B11" s="4">
        <v>14274</v>
      </c>
      <c r="C11" s="5">
        <v>10.71</v>
      </c>
      <c r="D11" s="4">
        <v>3761</v>
      </c>
      <c r="E11" s="5">
        <v>6.54</v>
      </c>
      <c r="F11" s="4">
        <v>10488</v>
      </c>
      <c r="G11" s="5">
        <v>13.97</v>
      </c>
      <c r="H11" s="4">
        <v>15</v>
      </c>
    </row>
    <row r="12" spans="1:8" x14ac:dyDescent="0.2">
      <c r="A12" s="2" t="s">
        <v>83</v>
      </c>
      <c r="B12" s="4">
        <v>6873</v>
      </c>
      <c r="C12" s="5">
        <v>5.16</v>
      </c>
      <c r="D12" s="4">
        <v>3082</v>
      </c>
      <c r="E12" s="5">
        <v>5.36</v>
      </c>
      <c r="F12" s="4">
        <v>3763</v>
      </c>
      <c r="G12" s="5">
        <v>5.01</v>
      </c>
      <c r="H12" s="4">
        <v>6</v>
      </c>
    </row>
    <row r="13" spans="1:8" x14ac:dyDescent="0.2">
      <c r="A13" s="2" t="s">
        <v>84</v>
      </c>
      <c r="B13" s="4">
        <v>12540</v>
      </c>
      <c r="C13" s="5">
        <v>9.41</v>
      </c>
      <c r="D13" s="4">
        <v>9840</v>
      </c>
      <c r="E13" s="5">
        <v>17.12</v>
      </c>
      <c r="F13" s="4">
        <v>2669</v>
      </c>
      <c r="G13" s="5">
        <v>3.56</v>
      </c>
      <c r="H13" s="4">
        <v>5</v>
      </c>
    </row>
    <row r="14" spans="1:8" x14ac:dyDescent="0.2">
      <c r="A14" s="2" t="s">
        <v>85</v>
      </c>
      <c r="B14" s="4">
        <v>15782</v>
      </c>
      <c r="C14" s="5">
        <v>11.84</v>
      </c>
      <c r="D14" s="4">
        <v>11753</v>
      </c>
      <c r="E14" s="5">
        <v>20.45</v>
      </c>
      <c r="F14" s="4">
        <v>3995</v>
      </c>
      <c r="G14" s="5">
        <v>5.32</v>
      </c>
      <c r="H14" s="4">
        <v>9</v>
      </c>
    </row>
    <row r="15" spans="1:8" x14ac:dyDescent="0.2">
      <c r="A15" s="2" t="s">
        <v>86</v>
      </c>
      <c r="B15" s="4">
        <v>5324</v>
      </c>
      <c r="C15" s="5">
        <v>3.99</v>
      </c>
      <c r="D15" s="4">
        <v>3541</v>
      </c>
      <c r="E15" s="5">
        <v>6.16</v>
      </c>
      <c r="F15" s="4">
        <v>1458</v>
      </c>
      <c r="G15" s="5">
        <v>1.94</v>
      </c>
      <c r="H15" s="4">
        <v>10</v>
      </c>
    </row>
    <row r="16" spans="1:8" x14ac:dyDescent="0.2">
      <c r="A16" s="2" t="s">
        <v>87</v>
      </c>
      <c r="B16" s="4">
        <v>6726</v>
      </c>
      <c r="C16" s="5">
        <v>5.05</v>
      </c>
      <c r="D16" s="4">
        <v>4209</v>
      </c>
      <c r="E16" s="5">
        <v>7.32</v>
      </c>
      <c r="F16" s="4">
        <v>2366</v>
      </c>
      <c r="G16" s="5">
        <v>3.15</v>
      </c>
      <c r="H16" s="4">
        <v>16</v>
      </c>
    </row>
    <row r="17" spans="1:8" x14ac:dyDescent="0.2">
      <c r="A17" s="2" t="s">
        <v>88</v>
      </c>
      <c r="B17" s="4">
        <v>4877</v>
      </c>
      <c r="C17" s="5">
        <v>3.66</v>
      </c>
      <c r="D17" s="4">
        <v>1627</v>
      </c>
      <c r="E17" s="5">
        <v>2.83</v>
      </c>
      <c r="F17" s="4">
        <v>3136</v>
      </c>
      <c r="G17" s="5">
        <v>4.18</v>
      </c>
      <c r="H17" s="4">
        <v>33</v>
      </c>
    </row>
    <row r="18" spans="1:8" x14ac:dyDescent="0.2">
      <c r="A18" s="1" t="s">
        <v>1</v>
      </c>
      <c r="B18" s="4">
        <v>20864</v>
      </c>
      <c r="C18" s="5">
        <v>100</v>
      </c>
      <c r="D18" s="4">
        <v>7338</v>
      </c>
      <c r="E18" s="5">
        <v>100.00000000000001</v>
      </c>
      <c r="F18" s="4">
        <v>13442</v>
      </c>
      <c r="G18" s="5">
        <v>100</v>
      </c>
      <c r="H18" s="4">
        <v>24</v>
      </c>
    </row>
    <row r="19" spans="1:8" x14ac:dyDescent="0.2">
      <c r="A19" s="2" t="s">
        <v>74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2">
      <c r="A20" s="2" t="s">
        <v>75</v>
      </c>
      <c r="B20" s="4">
        <v>2916</v>
      </c>
      <c r="C20" s="5">
        <v>13.98</v>
      </c>
      <c r="D20" s="4">
        <v>392</v>
      </c>
      <c r="E20" s="5">
        <v>5.34</v>
      </c>
      <c r="F20" s="4">
        <v>2523</v>
      </c>
      <c r="G20" s="5">
        <v>18.77</v>
      </c>
      <c r="H20" s="4">
        <v>1</v>
      </c>
    </row>
    <row r="21" spans="1:8" x14ac:dyDescent="0.2">
      <c r="A21" s="2" t="s">
        <v>76</v>
      </c>
      <c r="B21" s="4">
        <v>1627</v>
      </c>
      <c r="C21" s="5">
        <v>7.8</v>
      </c>
      <c r="D21" s="4">
        <v>351</v>
      </c>
      <c r="E21" s="5">
        <v>4.78</v>
      </c>
      <c r="F21" s="4">
        <v>1276</v>
      </c>
      <c r="G21" s="5">
        <v>9.49</v>
      </c>
      <c r="H21" s="4">
        <v>0</v>
      </c>
    </row>
    <row r="22" spans="1:8" x14ac:dyDescent="0.2">
      <c r="A22" s="2" t="s">
        <v>77</v>
      </c>
      <c r="B22" s="4">
        <v>17</v>
      </c>
      <c r="C22" s="5">
        <v>0.08</v>
      </c>
      <c r="D22" s="4">
        <v>0</v>
      </c>
      <c r="E22" s="5">
        <v>0</v>
      </c>
      <c r="F22" s="4">
        <v>17</v>
      </c>
      <c r="G22" s="5">
        <v>0.13</v>
      </c>
      <c r="H22" s="4">
        <v>0</v>
      </c>
    </row>
    <row r="23" spans="1:8" x14ac:dyDescent="0.2">
      <c r="A23" s="2" t="s">
        <v>78</v>
      </c>
      <c r="B23" s="4">
        <v>349</v>
      </c>
      <c r="C23" s="5">
        <v>1.67</v>
      </c>
      <c r="D23" s="4">
        <v>9</v>
      </c>
      <c r="E23" s="5">
        <v>0.12</v>
      </c>
      <c r="F23" s="4">
        <v>340</v>
      </c>
      <c r="G23" s="5">
        <v>2.5299999999999998</v>
      </c>
      <c r="H23" s="4">
        <v>0</v>
      </c>
    </row>
    <row r="24" spans="1:8" x14ac:dyDescent="0.2">
      <c r="A24" s="2" t="s">
        <v>79</v>
      </c>
      <c r="B24" s="4">
        <v>200</v>
      </c>
      <c r="C24" s="5">
        <v>0.96</v>
      </c>
      <c r="D24" s="4">
        <v>18</v>
      </c>
      <c r="E24" s="5">
        <v>0.25</v>
      </c>
      <c r="F24" s="4">
        <v>182</v>
      </c>
      <c r="G24" s="5">
        <v>1.35</v>
      </c>
      <c r="H24" s="4">
        <v>0</v>
      </c>
    </row>
    <row r="25" spans="1:8" x14ac:dyDescent="0.2">
      <c r="A25" s="2" t="s">
        <v>80</v>
      </c>
      <c r="B25" s="4">
        <v>4072</v>
      </c>
      <c r="C25" s="5">
        <v>19.52</v>
      </c>
      <c r="D25" s="4">
        <v>1135</v>
      </c>
      <c r="E25" s="5">
        <v>15.47</v>
      </c>
      <c r="F25" s="4">
        <v>2934</v>
      </c>
      <c r="G25" s="5">
        <v>21.83</v>
      </c>
      <c r="H25" s="4">
        <v>3</v>
      </c>
    </row>
    <row r="26" spans="1:8" x14ac:dyDescent="0.2">
      <c r="A26" s="2" t="s">
        <v>81</v>
      </c>
      <c r="B26" s="4">
        <v>178</v>
      </c>
      <c r="C26" s="5">
        <v>0.85</v>
      </c>
      <c r="D26" s="4">
        <v>15</v>
      </c>
      <c r="E26" s="5">
        <v>0.2</v>
      </c>
      <c r="F26" s="4">
        <v>163</v>
      </c>
      <c r="G26" s="5">
        <v>1.21</v>
      </c>
      <c r="H26" s="4">
        <v>0</v>
      </c>
    </row>
    <row r="27" spans="1:8" x14ac:dyDescent="0.2">
      <c r="A27" s="2" t="s">
        <v>82</v>
      </c>
      <c r="B27" s="4">
        <v>2790</v>
      </c>
      <c r="C27" s="5">
        <v>13.37</v>
      </c>
      <c r="D27" s="4">
        <v>538</v>
      </c>
      <c r="E27" s="5">
        <v>7.33</v>
      </c>
      <c r="F27" s="4">
        <v>2250</v>
      </c>
      <c r="G27" s="5">
        <v>16.739999999999998</v>
      </c>
      <c r="H27" s="4">
        <v>1</v>
      </c>
    </row>
    <row r="28" spans="1:8" x14ac:dyDescent="0.2">
      <c r="A28" s="2" t="s">
        <v>83</v>
      </c>
      <c r="B28" s="4">
        <v>1606</v>
      </c>
      <c r="C28" s="5">
        <v>7.7</v>
      </c>
      <c r="D28" s="4">
        <v>634</v>
      </c>
      <c r="E28" s="5">
        <v>8.64</v>
      </c>
      <c r="F28" s="4">
        <v>967</v>
      </c>
      <c r="G28" s="5">
        <v>7.19</v>
      </c>
      <c r="H28" s="4">
        <v>2</v>
      </c>
    </row>
    <row r="29" spans="1:8" x14ac:dyDescent="0.2">
      <c r="A29" s="2" t="s">
        <v>84</v>
      </c>
      <c r="B29" s="4">
        <v>1801</v>
      </c>
      <c r="C29" s="5">
        <v>8.6300000000000008</v>
      </c>
      <c r="D29" s="4">
        <v>1281</v>
      </c>
      <c r="E29" s="5">
        <v>17.46</v>
      </c>
      <c r="F29" s="4">
        <v>519</v>
      </c>
      <c r="G29" s="5">
        <v>3.86</v>
      </c>
      <c r="H29" s="4">
        <v>0</v>
      </c>
    </row>
    <row r="30" spans="1:8" x14ac:dyDescent="0.2">
      <c r="A30" s="2" t="s">
        <v>85</v>
      </c>
      <c r="B30" s="4">
        <v>2375</v>
      </c>
      <c r="C30" s="5">
        <v>11.38</v>
      </c>
      <c r="D30" s="4">
        <v>1560</v>
      </c>
      <c r="E30" s="5">
        <v>21.26</v>
      </c>
      <c r="F30" s="4">
        <v>813</v>
      </c>
      <c r="G30" s="5">
        <v>6.05</v>
      </c>
      <c r="H30" s="4">
        <v>1</v>
      </c>
    </row>
    <row r="31" spans="1:8" x14ac:dyDescent="0.2">
      <c r="A31" s="2" t="s">
        <v>86</v>
      </c>
      <c r="B31" s="4">
        <v>957</v>
      </c>
      <c r="C31" s="5">
        <v>4.59</v>
      </c>
      <c r="D31" s="4">
        <v>544</v>
      </c>
      <c r="E31" s="5">
        <v>7.41</v>
      </c>
      <c r="F31" s="4">
        <v>361</v>
      </c>
      <c r="G31" s="5">
        <v>2.69</v>
      </c>
      <c r="H31" s="4">
        <v>1</v>
      </c>
    </row>
    <row r="32" spans="1:8" x14ac:dyDescent="0.2">
      <c r="A32" s="2" t="s">
        <v>87</v>
      </c>
      <c r="B32" s="4">
        <v>1244</v>
      </c>
      <c r="C32" s="5">
        <v>5.96</v>
      </c>
      <c r="D32" s="4">
        <v>732</v>
      </c>
      <c r="E32" s="5">
        <v>9.98</v>
      </c>
      <c r="F32" s="4">
        <v>506</v>
      </c>
      <c r="G32" s="5">
        <v>3.76</v>
      </c>
      <c r="H32" s="4">
        <v>5</v>
      </c>
    </row>
    <row r="33" spans="1:8" x14ac:dyDescent="0.2">
      <c r="A33" s="2" t="s">
        <v>88</v>
      </c>
      <c r="B33" s="4">
        <v>732</v>
      </c>
      <c r="C33" s="5">
        <v>3.51</v>
      </c>
      <c r="D33" s="4">
        <v>129</v>
      </c>
      <c r="E33" s="5">
        <v>1.76</v>
      </c>
      <c r="F33" s="4">
        <v>591</v>
      </c>
      <c r="G33" s="5">
        <v>4.4000000000000004</v>
      </c>
      <c r="H33" s="4">
        <v>10</v>
      </c>
    </row>
    <row r="34" spans="1:8" x14ac:dyDescent="0.2">
      <c r="A34" s="1" t="s">
        <v>2</v>
      </c>
      <c r="B34" s="4">
        <v>1160</v>
      </c>
      <c r="C34" s="5">
        <v>99.990000000000009</v>
      </c>
      <c r="D34" s="4">
        <v>360</v>
      </c>
      <c r="E34" s="5">
        <v>100.02000000000001</v>
      </c>
      <c r="F34" s="4">
        <v>795</v>
      </c>
      <c r="G34" s="5">
        <v>100.01000000000002</v>
      </c>
      <c r="H34" s="4">
        <v>1</v>
      </c>
    </row>
    <row r="35" spans="1:8" x14ac:dyDescent="0.2">
      <c r="A35" s="2" t="s">
        <v>74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2">
      <c r="A36" s="2" t="s">
        <v>75</v>
      </c>
      <c r="B36" s="4">
        <v>284</v>
      </c>
      <c r="C36" s="5">
        <v>24.48</v>
      </c>
      <c r="D36" s="4">
        <v>30</v>
      </c>
      <c r="E36" s="5">
        <v>8.33</v>
      </c>
      <c r="F36" s="4">
        <v>254</v>
      </c>
      <c r="G36" s="5">
        <v>31.95</v>
      </c>
      <c r="H36" s="4">
        <v>0</v>
      </c>
    </row>
    <row r="37" spans="1:8" x14ac:dyDescent="0.2">
      <c r="A37" s="2" t="s">
        <v>76</v>
      </c>
      <c r="B37" s="4">
        <v>158</v>
      </c>
      <c r="C37" s="5">
        <v>13.62</v>
      </c>
      <c r="D37" s="4">
        <v>46</v>
      </c>
      <c r="E37" s="5">
        <v>12.78</v>
      </c>
      <c r="F37" s="4">
        <v>112</v>
      </c>
      <c r="G37" s="5">
        <v>14.09</v>
      </c>
      <c r="H37" s="4">
        <v>0</v>
      </c>
    </row>
    <row r="38" spans="1:8" x14ac:dyDescent="0.2">
      <c r="A38" s="2" t="s">
        <v>77</v>
      </c>
      <c r="B38" s="4">
        <v>0</v>
      </c>
      <c r="C38" s="5">
        <v>0</v>
      </c>
      <c r="D38" s="4">
        <v>0</v>
      </c>
      <c r="E38" s="5">
        <v>0</v>
      </c>
      <c r="F38" s="4">
        <v>0</v>
      </c>
      <c r="G38" s="5">
        <v>0</v>
      </c>
      <c r="H38" s="4">
        <v>0</v>
      </c>
    </row>
    <row r="39" spans="1:8" x14ac:dyDescent="0.2">
      <c r="A39" s="2" t="s">
        <v>78</v>
      </c>
      <c r="B39" s="4">
        <v>16</v>
      </c>
      <c r="C39" s="5">
        <v>1.38</v>
      </c>
      <c r="D39" s="4">
        <v>0</v>
      </c>
      <c r="E39" s="5">
        <v>0</v>
      </c>
      <c r="F39" s="4">
        <v>16</v>
      </c>
      <c r="G39" s="5">
        <v>2.0099999999999998</v>
      </c>
      <c r="H39" s="4">
        <v>0</v>
      </c>
    </row>
    <row r="40" spans="1:8" x14ac:dyDescent="0.2">
      <c r="A40" s="2" t="s">
        <v>79</v>
      </c>
      <c r="B40" s="4">
        <v>6</v>
      </c>
      <c r="C40" s="5">
        <v>0.52</v>
      </c>
      <c r="D40" s="4">
        <v>1</v>
      </c>
      <c r="E40" s="5">
        <v>0.28000000000000003</v>
      </c>
      <c r="F40" s="4">
        <v>5</v>
      </c>
      <c r="G40" s="5">
        <v>0.63</v>
      </c>
      <c r="H40" s="4">
        <v>0</v>
      </c>
    </row>
    <row r="41" spans="1:8" x14ac:dyDescent="0.2">
      <c r="A41" s="2" t="s">
        <v>80</v>
      </c>
      <c r="B41" s="4">
        <v>200</v>
      </c>
      <c r="C41" s="5">
        <v>17.239999999999998</v>
      </c>
      <c r="D41" s="4">
        <v>58</v>
      </c>
      <c r="E41" s="5">
        <v>16.11</v>
      </c>
      <c r="F41" s="4">
        <v>141</v>
      </c>
      <c r="G41" s="5">
        <v>17.739999999999998</v>
      </c>
      <c r="H41" s="4">
        <v>1</v>
      </c>
    </row>
    <row r="42" spans="1:8" x14ac:dyDescent="0.2">
      <c r="A42" s="2" t="s">
        <v>81</v>
      </c>
      <c r="B42" s="4">
        <v>8</v>
      </c>
      <c r="C42" s="5">
        <v>0.69</v>
      </c>
      <c r="D42" s="4">
        <v>2</v>
      </c>
      <c r="E42" s="5">
        <v>0.56000000000000005</v>
      </c>
      <c r="F42" s="4">
        <v>6</v>
      </c>
      <c r="G42" s="5">
        <v>0.75</v>
      </c>
      <c r="H42" s="4">
        <v>0</v>
      </c>
    </row>
    <row r="43" spans="1:8" x14ac:dyDescent="0.2">
      <c r="A43" s="2" t="s">
        <v>82</v>
      </c>
      <c r="B43" s="4">
        <v>111</v>
      </c>
      <c r="C43" s="5">
        <v>9.57</v>
      </c>
      <c r="D43" s="4">
        <v>20</v>
      </c>
      <c r="E43" s="5">
        <v>5.56</v>
      </c>
      <c r="F43" s="4">
        <v>91</v>
      </c>
      <c r="G43" s="5">
        <v>11.45</v>
      </c>
      <c r="H43" s="4">
        <v>0</v>
      </c>
    </row>
    <row r="44" spans="1:8" x14ac:dyDescent="0.2">
      <c r="A44" s="2" t="s">
        <v>83</v>
      </c>
      <c r="B44" s="4">
        <v>62</v>
      </c>
      <c r="C44" s="5">
        <v>5.34</v>
      </c>
      <c r="D44" s="4">
        <v>20</v>
      </c>
      <c r="E44" s="5">
        <v>5.56</v>
      </c>
      <c r="F44" s="4">
        <v>42</v>
      </c>
      <c r="G44" s="5">
        <v>5.28</v>
      </c>
      <c r="H44" s="4">
        <v>0</v>
      </c>
    </row>
    <row r="45" spans="1:8" x14ac:dyDescent="0.2">
      <c r="A45" s="2" t="s">
        <v>84</v>
      </c>
      <c r="B45" s="4">
        <v>52</v>
      </c>
      <c r="C45" s="5">
        <v>4.4800000000000004</v>
      </c>
      <c r="D45" s="4">
        <v>37</v>
      </c>
      <c r="E45" s="5">
        <v>10.28</v>
      </c>
      <c r="F45" s="4">
        <v>15</v>
      </c>
      <c r="G45" s="5">
        <v>1.89</v>
      </c>
      <c r="H45" s="4">
        <v>0</v>
      </c>
    </row>
    <row r="46" spans="1:8" x14ac:dyDescent="0.2">
      <c r="A46" s="2" t="s">
        <v>85</v>
      </c>
      <c r="B46" s="4">
        <v>106</v>
      </c>
      <c r="C46" s="5">
        <v>9.14</v>
      </c>
      <c r="D46" s="4">
        <v>73</v>
      </c>
      <c r="E46" s="5">
        <v>20.28</v>
      </c>
      <c r="F46" s="4">
        <v>33</v>
      </c>
      <c r="G46" s="5">
        <v>4.1500000000000004</v>
      </c>
      <c r="H46" s="4">
        <v>0</v>
      </c>
    </row>
    <row r="47" spans="1:8" x14ac:dyDescent="0.2">
      <c r="A47" s="2" t="s">
        <v>86</v>
      </c>
      <c r="B47" s="4">
        <v>48</v>
      </c>
      <c r="C47" s="5">
        <v>4.1399999999999997</v>
      </c>
      <c r="D47" s="4">
        <v>34</v>
      </c>
      <c r="E47" s="5">
        <v>9.44</v>
      </c>
      <c r="F47" s="4">
        <v>10</v>
      </c>
      <c r="G47" s="5">
        <v>1.26</v>
      </c>
      <c r="H47" s="4">
        <v>0</v>
      </c>
    </row>
    <row r="48" spans="1:8" x14ac:dyDescent="0.2">
      <c r="A48" s="2" t="s">
        <v>87</v>
      </c>
      <c r="B48" s="4">
        <v>57</v>
      </c>
      <c r="C48" s="5">
        <v>4.91</v>
      </c>
      <c r="D48" s="4">
        <v>28</v>
      </c>
      <c r="E48" s="5">
        <v>7.78</v>
      </c>
      <c r="F48" s="4">
        <v>29</v>
      </c>
      <c r="G48" s="5">
        <v>3.65</v>
      </c>
      <c r="H48" s="4">
        <v>0</v>
      </c>
    </row>
    <row r="49" spans="1:8" x14ac:dyDescent="0.2">
      <c r="A49" s="2" t="s">
        <v>88</v>
      </c>
      <c r="B49" s="4">
        <v>52</v>
      </c>
      <c r="C49" s="5">
        <v>4.4800000000000004</v>
      </c>
      <c r="D49" s="4">
        <v>11</v>
      </c>
      <c r="E49" s="5">
        <v>3.06</v>
      </c>
      <c r="F49" s="4">
        <v>41</v>
      </c>
      <c r="G49" s="5">
        <v>5.16</v>
      </c>
      <c r="H49" s="4">
        <v>0</v>
      </c>
    </row>
    <row r="50" spans="1:8" x14ac:dyDescent="0.2">
      <c r="A50" s="1" t="s">
        <v>3</v>
      </c>
      <c r="B50" s="4">
        <v>2241</v>
      </c>
      <c r="C50" s="5">
        <v>99.98</v>
      </c>
      <c r="D50" s="4">
        <v>817</v>
      </c>
      <c r="E50" s="5">
        <v>99.999999999999986</v>
      </c>
      <c r="F50" s="4">
        <v>1417</v>
      </c>
      <c r="G50" s="5">
        <v>100</v>
      </c>
      <c r="H50" s="4">
        <v>2</v>
      </c>
    </row>
    <row r="51" spans="1:8" x14ac:dyDescent="0.2">
      <c r="A51" s="2" t="s">
        <v>74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2">
      <c r="A52" s="2" t="s">
        <v>75</v>
      </c>
      <c r="B52" s="4">
        <v>298</v>
      </c>
      <c r="C52" s="5">
        <v>13.3</v>
      </c>
      <c r="D52" s="4">
        <v>29</v>
      </c>
      <c r="E52" s="5">
        <v>3.55</v>
      </c>
      <c r="F52" s="4">
        <v>269</v>
      </c>
      <c r="G52" s="5">
        <v>18.98</v>
      </c>
      <c r="H52" s="4">
        <v>0</v>
      </c>
    </row>
    <row r="53" spans="1:8" x14ac:dyDescent="0.2">
      <c r="A53" s="2" t="s">
        <v>76</v>
      </c>
      <c r="B53" s="4">
        <v>98</v>
      </c>
      <c r="C53" s="5">
        <v>4.37</v>
      </c>
      <c r="D53" s="4">
        <v>15</v>
      </c>
      <c r="E53" s="5">
        <v>1.84</v>
      </c>
      <c r="F53" s="4">
        <v>83</v>
      </c>
      <c r="G53" s="5">
        <v>5.86</v>
      </c>
      <c r="H53" s="4">
        <v>0</v>
      </c>
    </row>
    <row r="54" spans="1:8" x14ac:dyDescent="0.2">
      <c r="A54" s="2" t="s">
        <v>77</v>
      </c>
      <c r="B54" s="4">
        <v>1</v>
      </c>
      <c r="C54" s="5">
        <v>0.04</v>
      </c>
      <c r="D54" s="4">
        <v>0</v>
      </c>
      <c r="E54" s="5">
        <v>0</v>
      </c>
      <c r="F54" s="4">
        <v>1</v>
      </c>
      <c r="G54" s="5">
        <v>7.0000000000000007E-2</v>
      </c>
      <c r="H54" s="4">
        <v>0</v>
      </c>
    </row>
    <row r="55" spans="1:8" x14ac:dyDescent="0.2">
      <c r="A55" s="2" t="s">
        <v>78</v>
      </c>
      <c r="B55" s="4">
        <v>37</v>
      </c>
      <c r="C55" s="5">
        <v>1.65</v>
      </c>
      <c r="D55" s="4">
        <v>2</v>
      </c>
      <c r="E55" s="5">
        <v>0.24</v>
      </c>
      <c r="F55" s="4">
        <v>35</v>
      </c>
      <c r="G55" s="5">
        <v>2.4700000000000002</v>
      </c>
      <c r="H55" s="4">
        <v>0</v>
      </c>
    </row>
    <row r="56" spans="1:8" x14ac:dyDescent="0.2">
      <c r="A56" s="2" t="s">
        <v>79</v>
      </c>
      <c r="B56" s="4">
        <v>26</v>
      </c>
      <c r="C56" s="5">
        <v>1.1599999999999999</v>
      </c>
      <c r="D56" s="4">
        <v>2</v>
      </c>
      <c r="E56" s="5">
        <v>0.24</v>
      </c>
      <c r="F56" s="4">
        <v>24</v>
      </c>
      <c r="G56" s="5">
        <v>1.69</v>
      </c>
      <c r="H56" s="4">
        <v>0</v>
      </c>
    </row>
    <row r="57" spans="1:8" x14ac:dyDescent="0.2">
      <c r="A57" s="2" t="s">
        <v>80</v>
      </c>
      <c r="B57" s="4">
        <v>496</v>
      </c>
      <c r="C57" s="5">
        <v>22.13</v>
      </c>
      <c r="D57" s="4">
        <v>122</v>
      </c>
      <c r="E57" s="5">
        <v>14.93</v>
      </c>
      <c r="F57" s="4">
        <v>374</v>
      </c>
      <c r="G57" s="5">
        <v>26.39</v>
      </c>
      <c r="H57" s="4">
        <v>0</v>
      </c>
    </row>
    <row r="58" spans="1:8" x14ac:dyDescent="0.2">
      <c r="A58" s="2" t="s">
        <v>81</v>
      </c>
      <c r="B58" s="4">
        <v>13</v>
      </c>
      <c r="C58" s="5">
        <v>0.57999999999999996</v>
      </c>
      <c r="D58" s="4">
        <v>0</v>
      </c>
      <c r="E58" s="5">
        <v>0</v>
      </c>
      <c r="F58" s="4">
        <v>13</v>
      </c>
      <c r="G58" s="5">
        <v>0.92</v>
      </c>
      <c r="H58" s="4">
        <v>0</v>
      </c>
    </row>
    <row r="59" spans="1:8" x14ac:dyDescent="0.2">
      <c r="A59" s="2" t="s">
        <v>82</v>
      </c>
      <c r="B59" s="4">
        <v>319</v>
      </c>
      <c r="C59" s="5">
        <v>14.23</v>
      </c>
      <c r="D59" s="4">
        <v>72</v>
      </c>
      <c r="E59" s="5">
        <v>8.81</v>
      </c>
      <c r="F59" s="4">
        <v>246</v>
      </c>
      <c r="G59" s="5">
        <v>17.36</v>
      </c>
      <c r="H59" s="4">
        <v>0</v>
      </c>
    </row>
    <row r="60" spans="1:8" x14ac:dyDescent="0.2">
      <c r="A60" s="2" t="s">
        <v>83</v>
      </c>
      <c r="B60" s="4">
        <v>149</v>
      </c>
      <c r="C60" s="5">
        <v>6.65</v>
      </c>
      <c r="D60" s="4">
        <v>65</v>
      </c>
      <c r="E60" s="5">
        <v>7.96</v>
      </c>
      <c r="F60" s="4">
        <v>83</v>
      </c>
      <c r="G60" s="5">
        <v>5.86</v>
      </c>
      <c r="H60" s="4">
        <v>0</v>
      </c>
    </row>
    <row r="61" spans="1:8" x14ac:dyDescent="0.2">
      <c r="A61" s="2" t="s">
        <v>84</v>
      </c>
      <c r="B61" s="4">
        <v>203</v>
      </c>
      <c r="C61" s="5">
        <v>9.06</v>
      </c>
      <c r="D61" s="4">
        <v>146</v>
      </c>
      <c r="E61" s="5">
        <v>17.87</v>
      </c>
      <c r="F61" s="4">
        <v>57</v>
      </c>
      <c r="G61" s="5">
        <v>4.0199999999999996</v>
      </c>
      <c r="H61" s="4">
        <v>0</v>
      </c>
    </row>
    <row r="62" spans="1:8" x14ac:dyDescent="0.2">
      <c r="A62" s="2" t="s">
        <v>85</v>
      </c>
      <c r="B62" s="4">
        <v>272</v>
      </c>
      <c r="C62" s="5">
        <v>12.14</v>
      </c>
      <c r="D62" s="4">
        <v>191</v>
      </c>
      <c r="E62" s="5">
        <v>23.38</v>
      </c>
      <c r="F62" s="4">
        <v>81</v>
      </c>
      <c r="G62" s="5">
        <v>5.72</v>
      </c>
      <c r="H62" s="4">
        <v>0</v>
      </c>
    </row>
    <row r="63" spans="1:8" x14ac:dyDescent="0.2">
      <c r="A63" s="2" t="s">
        <v>86</v>
      </c>
      <c r="B63" s="4">
        <v>109</v>
      </c>
      <c r="C63" s="5">
        <v>4.8600000000000003</v>
      </c>
      <c r="D63" s="4">
        <v>65</v>
      </c>
      <c r="E63" s="5">
        <v>7.96</v>
      </c>
      <c r="F63" s="4">
        <v>41</v>
      </c>
      <c r="G63" s="5">
        <v>2.89</v>
      </c>
      <c r="H63" s="4">
        <v>0</v>
      </c>
    </row>
    <row r="64" spans="1:8" x14ac:dyDescent="0.2">
      <c r="A64" s="2" t="s">
        <v>87</v>
      </c>
      <c r="B64" s="4">
        <v>137</v>
      </c>
      <c r="C64" s="5">
        <v>6.11</v>
      </c>
      <c r="D64" s="4">
        <v>90</v>
      </c>
      <c r="E64" s="5">
        <v>11.02</v>
      </c>
      <c r="F64" s="4">
        <v>47</v>
      </c>
      <c r="G64" s="5">
        <v>3.32</v>
      </c>
      <c r="H64" s="4">
        <v>0</v>
      </c>
    </row>
    <row r="65" spans="1:8" x14ac:dyDescent="0.2">
      <c r="A65" s="2" t="s">
        <v>88</v>
      </c>
      <c r="B65" s="4">
        <v>83</v>
      </c>
      <c r="C65" s="5">
        <v>3.7</v>
      </c>
      <c r="D65" s="4">
        <v>18</v>
      </c>
      <c r="E65" s="5">
        <v>2.2000000000000002</v>
      </c>
      <c r="F65" s="4">
        <v>63</v>
      </c>
      <c r="G65" s="5">
        <v>4.45</v>
      </c>
      <c r="H65" s="4">
        <v>2</v>
      </c>
    </row>
    <row r="66" spans="1:8" x14ac:dyDescent="0.2">
      <c r="A66" s="1" t="s">
        <v>4</v>
      </c>
      <c r="B66" s="4">
        <v>3000</v>
      </c>
      <c r="C66" s="5">
        <v>99.989999999999981</v>
      </c>
      <c r="D66" s="4">
        <v>938</v>
      </c>
      <c r="E66" s="5">
        <v>100.00999999999999</v>
      </c>
      <c r="F66" s="4">
        <v>2052</v>
      </c>
      <c r="G66" s="5">
        <v>100</v>
      </c>
      <c r="H66" s="4">
        <v>3</v>
      </c>
    </row>
    <row r="67" spans="1:8" x14ac:dyDescent="0.2">
      <c r="A67" s="2" t="s">
        <v>74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75</v>
      </c>
      <c r="B68" s="4">
        <v>274</v>
      </c>
      <c r="C68" s="5">
        <v>9.1300000000000008</v>
      </c>
      <c r="D68" s="4">
        <v>15</v>
      </c>
      <c r="E68" s="5">
        <v>1.6</v>
      </c>
      <c r="F68" s="4">
        <v>259</v>
      </c>
      <c r="G68" s="5">
        <v>12.62</v>
      </c>
      <c r="H68" s="4">
        <v>0</v>
      </c>
    </row>
    <row r="69" spans="1:8" x14ac:dyDescent="0.2">
      <c r="A69" s="2" t="s">
        <v>76</v>
      </c>
      <c r="B69" s="4">
        <v>81</v>
      </c>
      <c r="C69" s="5">
        <v>2.7</v>
      </c>
      <c r="D69" s="4">
        <v>14</v>
      </c>
      <c r="E69" s="5">
        <v>1.49</v>
      </c>
      <c r="F69" s="4">
        <v>67</v>
      </c>
      <c r="G69" s="5">
        <v>3.27</v>
      </c>
      <c r="H69" s="4">
        <v>0</v>
      </c>
    </row>
    <row r="70" spans="1:8" x14ac:dyDescent="0.2">
      <c r="A70" s="2" t="s">
        <v>77</v>
      </c>
      <c r="B70" s="4">
        <v>5</v>
      </c>
      <c r="C70" s="5">
        <v>0.17</v>
      </c>
      <c r="D70" s="4">
        <v>0</v>
      </c>
      <c r="E70" s="5">
        <v>0</v>
      </c>
      <c r="F70" s="4">
        <v>5</v>
      </c>
      <c r="G70" s="5">
        <v>0.24</v>
      </c>
      <c r="H70" s="4">
        <v>0</v>
      </c>
    </row>
    <row r="71" spans="1:8" x14ac:dyDescent="0.2">
      <c r="A71" s="2" t="s">
        <v>78</v>
      </c>
      <c r="B71" s="4">
        <v>51</v>
      </c>
      <c r="C71" s="5">
        <v>1.7</v>
      </c>
      <c r="D71" s="4">
        <v>1</v>
      </c>
      <c r="E71" s="5">
        <v>0.11</v>
      </c>
      <c r="F71" s="4">
        <v>50</v>
      </c>
      <c r="G71" s="5">
        <v>2.44</v>
      </c>
      <c r="H71" s="4">
        <v>0</v>
      </c>
    </row>
    <row r="72" spans="1:8" x14ac:dyDescent="0.2">
      <c r="A72" s="2" t="s">
        <v>79</v>
      </c>
      <c r="B72" s="4">
        <v>21</v>
      </c>
      <c r="C72" s="5">
        <v>0.7</v>
      </c>
      <c r="D72" s="4">
        <v>1</v>
      </c>
      <c r="E72" s="5">
        <v>0.11</v>
      </c>
      <c r="F72" s="4">
        <v>20</v>
      </c>
      <c r="G72" s="5">
        <v>0.97</v>
      </c>
      <c r="H72" s="4">
        <v>0</v>
      </c>
    </row>
    <row r="73" spans="1:8" x14ac:dyDescent="0.2">
      <c r="A73" s="2" t="s">
        <v>80</v>
      </c>
      <c r="B73" s="4">
        <v>722</v>
      </c>
      <c r="C73" s="5">
        <v>24.07</v>
      </c>
      <c r="D73" s="4">
        <v>132</v>
      </c>
      <c r="E73" s="5">
        <v>14.07</v>
      </c>
      <c r="F73" s="4">
        <v>590</v>
      </c>
      <c r="G73" s="5">
        <v>28.75</v>
      </c>
      <c r="H73" s="4">
        <v>0</v>
      </c>
    </row>
    <row r="74" spans="1:8" x14ac:dyDescent="0.2">
      <c r="A74" s="2" t="s">
        <v>81</v>
      </c>
      <c r="B74" s="4">
        <v>42</v>
      </c>
      <c r="C74" s="5">
        <v>1.4</v>
      </c>
      <c r="D74" s="4">
        <v>1</v>
      </c>
      <c r="E74" s="5">
        <v>0.11</v>
      </c>
      <c r="F74" s="4">
        <v>41</v>
      </c>
      <c r="G74" s="5">
        <v>2</v>
      </c>
      <c r="H74" s="4">
        <v>0</v>
      </c>
    </row>
    <row r="75" spans="1:8" x14ac:dyDescent="0.2">
      <c r="A75" s="2" t="s">
        <v>82</v>
      </c>
      <c r="B75" s="4">
        <v>472</v>
      </c>
      <c r="C75" s="5">
        <v>15.73</v>
      </c>
      <c r="D75" s="4">
        <v>116</v>
      </c>
      <c r="E75" s="5">
        <v>12.37</v>
      </c>
      <c r="F75" s="4">
        <v>356</v>
      </c>
      <c r="G75" s="5">
        <v>17.350000000000001</v>
      </c>
      <c r="H75" s="4">
        <v>0</v>
      </c>
    </row>
    <row r="76" spans="1:8" x14ac:dyDescent="0.2">
      <c r="A76" s="2" t="s">
        <v>83</v>
      </c>
      <c r="B76" s="4">
        <v>265</v>
      </c>
      <c r="C76" s="5">
        <v>8.83</v>
      </c>
      <c r="D76" s="4">
        <v>88</v>
      </c>
      <c r="E76" s="5">
        <v>9.3800000000000008</v>
      </c>
      <c r="F76" s="4">
        <v>175</v>
      </c>
      <c r="G76" s="5">
        <v>8.5299999999999994</v>
      </c>
      <c r="H76" s="4">
        <v>1</v>
      </c>
    </row>
    <row r="77" spans="1:8" x14ac:dyDescent="0.2">
      <c r="A77" s="2" t="s">
        <v>84</v>
      </c>
      <c r="B77" s="4">
        <v>345</v>
      </c>
      <c r="C77" s="5">
        <v>11.5</v>
      </c>
      <c r="D77" s="4">
        <v>214</v>
      </c>
      <c r="E77" s="5">
        <v>22.81</v>
      </c>
      <c r="F77" s="4">
        <v>131</v>
      </c>
      <c r="G77" s="5">
        <v>6.38</v>
      </c>
      <c r="H77" s="4">
        <v>0</v>
      </c>
    </row>
    <row r="78" spans="1:8" x14ac:dyDescent="0.2">
      <c r="A78" s="2" t="s">
        <v>85</v>
      </c>
      <c r="B78" s="4">
        <v>310</v>
      </c>
      <c r="C78" s="5">
        <v>10.33</v>
      </c>
      <c r="D78" s="4">
        <v>180</v>
      </c>
      <c r="E78" s="5">
        <v>19.190000000000001</v>
      </c>
      <c r="F78" s="4">
        <v>130</v>
      </c>
      <c r="G78" s="5">
        <v>6.34</v>
      </c>
      <c r="H78" s="4">
        <v>0</v>
      </c>
    </row>
    <row r="79" spans="1:8" x14ac:dyDescent="0.2">
      <c r="A79" s="2" t="s">
        <v>86</v>
      </c>
      <c r="B79" s="4">
        <v>136</v>
      </c>
      <c r="C79" s="5">
        <v>4.53</v>
      </c>
      <c r="D79" s="4">
        <v>65</v>
      </c>
      <c r="E79" s="5">
        <v>6.93</v>
      </c>
      <c r="F79" s="4">
        <v>65</v>
      </c>
      <c r="G79" s="5">
        <v>3.17</v>
      </c>
      <c r="H79" s="4">
        <v>0</v>
      </c>
    </row>
    <row r="80" spans="1:8" x14ac:dyDescent="0.2">
      <c r="A80" s="2" t="s">
        <v>87</v>
      </c>
      <c r="B80" s="4">
        <v>167</v>
      </c>
      <c r="C80" s="5">
        <v>5.57</v>
      </c>
      <c r="D80" s="4">
        <v>104</v>
      </c>
      <c r="E80" s="5">
        <v>11.09</v>
      </c>
      <c r="F80" s="4">
        <v>63</v>
      </c>
      <c r="G80" s="5">
        <v>3.07</v>
      </c>
      <c r="H80" s="4">
        <v>0</v>
      </c>
    </row>
    <row r="81" spans="1:8" x14ac:dyDescent="0.2">
      <c r="A81" s="2" t="s">
        <v>88</v>
      </c>
      <c r="B81" s="4">
        <v>109</v>
      </c>
      <c r="C81" s="5">
        <v>3.63</v>
      </c>
      <c r="D81" s="4">
        <v>7</v>
      </c>
      <c r="E81" s="5">
        <v>0.75</v>
      </c>
      <c r="F81" s="4">
        <v>100</v>
      </c>
      <c r="G81" s="5">
        <v>4.87</v>
      </c>
      <c r="H81" s="4">
        <v>2</v>
      </c>
    </row>
    <row r="82" spans="1:8" x14ac:dyDescent="0.2">
      <c r="A82" s="1" t="s">
        <v>5</v>
      </c>
      <c r="B82" s="4">
        <v>2262</v>
      </c>
      <c r="C82" s="5">
        <v>100</v>
      </c>
      <c r="D82" s="4">
        <v>881</v>
      </c>
      <c r="E82" s="5">
        <v>99.99</v>
      </c>
      <c r="F82" s="4">
        <v>1376</v>
      </c>
      <c r="G82" s="5">
        <v>99.99</v>
      </c>
      <c r="H82" s="4">
        <v>1</v>
      </c>
    </row>
    <row r="83" spans="1:8" x14ac:dyDescent="0.2">
      <c r="A83" s="2" t="s">
        <v>74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2">
      <c r="A84" s="2" t="s">
        <v>75</v>
      </c>
      <c r="B84" s="4">
        <v>409</v>
      </c>
      <c r="C84" s="5">
        <v>18.079999999999998</v>
      </c>
      <c r="D84" s="4">
        <v>56</v>
      </c>
      <c r="E84" s="5">
        <v>6.36</v>
      </c>
      <c r="F84" s="4">
        <v>353</v>
      </c>
      <c r="G84" s="5">
        <v>25.65</v>
      </c>
      <c r="H84" s="4">
        <v>0</v>
      </c>
    </row>
    <row r="85" spans="1:8" x14ac:dyDescent="0.2">
      <c r="A85" s="2" t="s">
        <v>76</v>
      </c>
      <c r="B85" s="4">
        <v>159</v>
      </c>
      <c r="C85" s="5">
        <v>7.03</v>
      </c>
      <c r="D85" s="4">
        <v>36</v>
      </c>
      <c r="E85" s="5">
        <v>4.09</v>
      </c>
      <c r="F85" s="4">
        <v>123</v>
      </c>
      <c r="G85" s="5">
        <v>8.94</v>
      </c>
      <c r="H85" s="4">
        <v>0</v>
      </c>
    </row>
    <row r="86" spans="1:8" x14ac:dyDescent="0.2">
      <c r="A86" s="2" t="s">
        <v>77</v>
      </c>
      <c r="B86" s="4">
        <v>1</v>
      </c>
      <c r="C86" s="5">
        <v>0.04</v>
      </c>
      <c r="D86" s="4">
        <v>0</v>
      </c>
      <c r="E86" s="5">
        <v>0</v>
      </c>
      <c r="F86" s="4">
        <v>1</v>
      </c>
      <c r="G86" s="5">
        <v>7.0000000000000007E-2</v>
      </c>
      <c r="H86" s="4">
        <v>0</v>
      </c>
    </row>
    <row r="87" spans="1:8" x14ac:dyDescent="0.2">
      <c r="A87" s="2" t="s">
        <v>78</v>
      </c>
      <c r="B87" s="4">
        <v>35</v>
      </c>
      <c r="C87" s="5">
        <v>1.55</v>
      </c>
      <c r="D87" s="4">
        <v>1</v>
      </c>
      <c r="E87" s="5">
        <v>0.11</v>
      </c>
      <c r="F87" s="4">
        <v>34</v>
      </c>
      <c r="G87" s="5">
        <v>2.4700000000000002</v>
      </c>
      <c r="H87" s="4">
        <v>0</v>
      </c>
    </row>
    <row r="88" spans="1:8" x14ac:dyDescent="0.2">
      <c r="A88" s="2" t="s">
        <v>79</v>
      </c>
      <c r="B88" s="4">
        <v>18</v>
      </c>
      <c r="C88" s="5">
        <v>0.8</v>
      </c>
      <c r="D88" s="4">
        <v>3</v>
      </c>
      <c r="E88" s="5">
        <v>0.34</v>
      </c>
      <c r="F88" s="4">
        <v>15</v>
      </c>
      <c r="G88" s="5">
        <v>1.0900000000000001</v>
      </c>
      <c r="H88" s="4">
        <v>0</v>
      </c>
    </row>
    <row r="89" spans="1:8" x14ac:dyDescent="0.2">
      <c r="A89" s="2" t="s">
        <v>80</v>
      </c>
      <c r="B89" s="4">
        <v>433</v>
      </c>
      <c r="C89" s="5">
        <v>19.14</v>
      </c>
      <c r="D89" s="4">
        <v>161</v>
      </c>
      <c r="E89" s="5">
        <v>18.27</v>
      </c>
      <c r="F89" s="4">
        <v>272</v>
      </c>
      <c r="G89" s="5">
        <v>19.77</v>
      </c>
      <c r="H89" s="4">
        <v>0</v>
      </c>
    </row>
    <row r="90" spans="1:8" x14ac:dyDescent="0.2">
      <c r="A90" s="2" t="s">
        <v>81</v>
      </c>
      <c r="B90" s="4">
        <v>22</v>
      </c>
      <c r="C90" s="5">
        <v>0.97</v>
      </c>
      <c r="D90" s="4">
        <v>2</v>
      </c>
      <c r="E90" s="5">
        <v>0.23</v>
      </c>
      <c r="F90" s="4">
        <v>20</v>
      </c>
      <c r="G90" s="5">
        <v>1.45</v>
      </c>
      <c r="H90" s="4">
        <v>0</v>
      </c>
    </row>
    <row r="91" spans="1:8" x14ac:dyDescent="0.2">
      <c r="A91" s="2" t="s">
        <v>82</v>
      </c>
      <c r="B91" s="4">
        <v>261</v>
      </c>
      <c r="C91" s="5">
        <v>11.54</v>
      </c>
      <c r="D91" s="4">
        <v>45</v>
      </c>
      <c r="E91" s="5">
        <v>5.1100000000000003</v>
      </c>
      <c r="F91" s="4">
        <v>216</v>
      </c>
      <c r="G91" s="5">
        <v>15.7</v>
      </c>
      <c r="H91" s="4">
        <v>0</v>
      </c>
    </row>
    <row r="92" spans="1:8" x14ac:dyDescent="0.2">
      <c r="A92" s="2" t="s">
        <v>83</v>
      </c>
      <c r="B92" s="4">
        <v>165</v>
      </c>
      <c r="C92" s="5">
        <v>7.29</v>
      </c>
      <c r="D92" s="4">
        <v>64</v>
      </c>
      <c r="E92" s="5">
        <v>7.26</v>
      </c>
      <c r="F92" s="4">
        <v>101</v>
      </c>
      <c r="G92" s="5">
        <v>7.34</v>
      </c>
      <c r="H92" s="4">
        <v>0</v>
      </c>
    </row>
    <row r="93" spans="1:8" x14ac:dyDescent="0.2">
      <c r="A93" s="2" t="s">
        <v>84</v>
      </c>
      <c r="B93" s="4">
        <v>178</v>
      </c>
      <c r="C93" s="5">
        <v>7.87</v>
      </c>
      <c r="D93" s="4">
        <v>141</v>
      </c>
      <c r="E93" s="5">
        <v>16</v>
      </c>
      <c r="F93" s="4">
        <v>37</v>
      </c>
      <c r="G93" s="5">
        <v>2.69</v>
      </c>
      <c r="H93" s="4">
        <v>0</v>
      </c>
    </row>
    <row r="94" spans="1:8" x14ac:dyDescent="0.2">
      <c r="A94" s="2" t="s">
        <v>85</v>
      </c>
      <c r="B94" s="4">
        <v>261</v>
      </c>
      <c r="C94" s="5">
        <v>11.54</v>
      </c>
      <c r="D94" s="4">
        <v>195</v>
      </c>
      <c r="E94" s="5">
        <v>22.13</v>
      </c>
      <c r="F94" s="4">
        <v>66</v>
      </c>
      <c r="G94" s="5">
        <v>4.8</v>
      </c>
      <c r="H94" s="4">
        <v>0</v>
      </c>
    </row>
    <row r="95" spans="1:8" x14ac:dyDescent="0.2">
      <c r="A95" s="2" t="s">
        <v>86</v>
      </c>
      <c r="B95" s="4">
        <v>119</v>
      </c>
      <c r="C95" s="5">
        <v>5.26</v>
      </c>
      <c r="D95" s="4">
        <v>81</v>
      </c>
      <c r="E95" s="5">
        <v>9.19</v>
      </c>
      <c r="F95" s="4">
        <v>34</v>
      </c>
      <c r="G95" s="5">
        <v>2.4700000000000002</v>
      </c>
      <c r="H95" s="4">
        <v>0</v>
      </c>
    </row>
    <row r="96" spans="1:8" x14ac:dyDescent="0.2">
      <c r="A96" s="2" t="s">
        <v>87</v>
      </c>
      <c r="B96" s="4">
        <v>130</v>
      </c>
      <c r="C96" s="5">
        <v>5.75</v>
      </c>
      <c r="D96" s="4">
        <v>79</v>
      </c>
      <c r="E96" s="5">
        <v>8.9700000000000006</v>
      </c>
      <c r="F96" s="4">
        <v>50</v>
      </c>
      <c r="G96" s="5">
        <v>3.63</v>
      </c>
      <c r="H96" s="4">
        <v>1</v>
      </c>
    </row>
    <row r="97" spans="1:8" x14ac:dyDescent="0.2">
      <c r="A97" s="2" t="s">
        <v>88</v>
      </c>
      <c r="B97" s="4">
        <v>71</v>
      </c>
      <c r="C97" s="5">
        <v>3.14</v>
      </c>
      <c r="D97" s="4">
        <v>17</v>
      </c>
      <c r="E97" s="5">
        <v>1.93</v>
      </c>
      <c r="F97" s="4">
        <v>54</v>
      </c>
      <c r="G97" s="5">
        <v>3.92</v>
      </c>
      <c r="H97" s="4">
        <v>0</v>
      </c>
    </row>
    <row r="98" spans="1:8" x14ac:dyDescent="0.2">
      <c r="A98" s="1" t="s">
        <v>6</v>
      </c>
      <c r="B98" s="4">
        <v>1539</v>
      </c>
      <c r="C98" s="5">
        <v>99.98</v>
      </c>
      <c r="D98" s="4">
        <v>542</v>
      </c>
      <c r="E98" s="5">
        <v>100.01</v>
      </c>
      <c r="F98" s="4">
        <v>989</v>
      </c>
      <c r="G98" s="5">
        <v>100.00000000000001</v>
      </c>
      <c r="H98" s="4">
        <v>0</v>
      </c>
    </row>
    <row r="99" spans="1:8" x14ac:dyDescent="0.2">
      <c r="A99" s="2" t="s">
        <v>74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2">
      <c r="A100" s="2" t="s">
        <v>75</v>
      </c>
      <c r="B100" s="4">
        <v>177</v>
      </c>
      <c r="C100" s="5">
        <v>11.5</v>
      </c>
      <c r="D100" s="4">
        <v>10</v>
      </c>
      <c r="E100" s="5">
        <v>1.85</v>
      </c>
      <c r="F100" s="4">
        <v>167</v>
      </c>
      <c r="G100" s="5">
        <v>16.89</v>
      </c>
      <c r="H100" s="4">
        <v>0</v>
      </c>
    </row>
    <row r="101" spans="1:8" x14ac:dyDescent="0.2">
      <c r="A101" s="2" t="s">
        <v>76</v>
      </c>
      <c r="B101" s="4">
        <v>89</v>
      </c>
      <c r="C101" s="5">
        <v>5.78</v>
      </c>
      <c r="D101" s="4">
        <v>14</v>
      </c>
      <c r="E101" s="5">
        <v>2.58</v>
      </c>
      <c r="F101" s="4">
        <v>75</v>
      </c>
      <c r="G101" s="5">
        <v>7.58</v>
      </c>
      <c r="H101" s="4">
        <v>0</v>
      </c>
    </row>
    <row r="102" spans="1:8" x14ac:dyDescent="0.2">
      <c r="A102" s="2" t="s">
        <v>77</v>
      </c>
      <c r="B102" s="4">
        <v>1</v>
      </c>
      <c r="C102" s="5">
        <v>0.06</v>
      </c>
      <c r="D102" s="4">
        <v>0</v>
      </c>
      <c r="E102" s="5">
        <v>0</v>
      </c>
      <c r="F102" s="4">
        <v>1</v>
      </c>
      <c r="G102" s="5">
        <v>0.1</v>
      </c>
      <c r="H102" s="4">
        <v>0</v>
      </c>
    </row>
    <row r="103" spans="1:8" x14ac:dyDescent="0.2">
      <c r="A103" s="2" t="s">
        <v>78</v>
      </c>
      <c r="B103" s="4">
        <v>31</v>
      </c>
      <c r="C103" s="5">
        <v>2.0099999999999998</v>
      </c>
      <c r="D103" s="4">
        <v>1</v>
      </c>
      <c r="E103" s="5">
        <v>0.18</v>
      </c>
      <c r="F103" s="4">
        <v>30</v>
      </c>
      <c r="G103" s="5">
        <v>3.03</v>
      </c>
      <c r="H103" s="4">
        <v>0</v>
      </c>
    </row>
    <row r="104" spans="1:8" x14ac:dyDescent="0.2">
      <c r="A104" s="2" t="s">
        <v>79</v>
      </c>
      <c r="B104" s="4">
        <v>13</v>
      </c>
      <c r="C104" s="5">
        <v>0.84</v>
      </c>
      <c r="D104" s="4">
        <v>2</v>
      </c>
      <c r="E104" s="5">
        <v>0.37</v>
      </c>
      <c r="F104" s="4">
        <v>11</v>
      </c>
      <c r="G104" s="5">
        <v>1.1100000000000001</v>
      </c>
      <c r="H104" s="4">
        <v>0</v>
      </c>
    </row>
    <row r="105" spans="1:8" x14ac:dyDescent="0.2">
      <c r="A105" s="2" t="s">
        <v>80</v>
      </c>
      <c r="B105" s="4">
        <v>279</v>
      </c>
      <c r="C105" s="5">
        <v>18.13</v>
      </c>
      <c r="D105" s="4">
        <v>77</v>
      </c>
      <c r="E105" s="5">
        <v>14.21</v>
      </c>
      <c r="F105" s="4">
        <v>202</v>
      </c>
      <c r="G105" s="5">
        <v>20.420000000000002</v>
      </c>
      <c r="H105" s="4">
        <v>0</v>
      </c>
    </row>
    <row r="106" spans="1:8" x14ac:dyDescent="0.2">
      <c r="A106" s="2" t="s">
        <v>81</v>
      </c>
      <c r="B106" s="4">
        <v>15</v>
      </c>
      <c r="C106" s="5">
        <v>0.97</v>
      </c>
      <c r="D106" s="4">
        <v>1</v>
      </c>
      <c r="E106" s="5">
        <v>0.18</v>
      </c>
      <c r="F106" s="4">
        <v>14</v>
      </c>
      <c r="G106" s="5">
        <v>1.42</v>
      </c>
      <c r="H106" s="4">
        <v>0</v>
      </c>
    </row>
    <row r="107" spans="1:8" x14ac:dyDescent="0.2">
      <c r="A107" s="2" t="s">
        <v>82</v>
      </c>
      <c r="B107" s="4">
        <v>188</v>
      </c>
      <c r="C107" s="5">
        <v>12.22</v>
      </c>
      <c r="D107" s="4">
        <v>39</v>
      </c>
      <c r="E107" s="5">
        <v>7.2</v>
      </c>
      <c r="F107" s="4">
        <v>149</v>
      </c>
      <c r="G107" s="5">
        <v>15.07</v>
      </c>
      <c r="H107" s="4">
        <v>0</v>
      </c>
    </row>
    <row r="108" spans="1:8" x14ac:dyDescent="0.2">
      <c r="A108" s="2" t="s">
        <v>83</v>
      </c>
      <c r="B108" s="4">
        <v>159</v>
      </c>
      <c r="C108" s="5">
        <v>10.33</v>
      </c>
      <c r="D108" s="4">
        <v>66</v>
      </c>
      <c r="E108" s="5">
        <v>12.18</v>
      </c>
      <c r="F108" s="4">
        <v>93</v>
      </c>
      <c r="G108" s="5">
        <v>9.4</v>
      </c>
      <c r="H108" s="4">
        <v>0</v>
      </c>
    </row>
    <row r="109" spans="1:8" x14ac:dyDescent="0.2">
      <c r="A109" s="2" t="s">
        <v>84</v>
      </c>
      <c r="B109" s="4">
        <v>137</v>
      </c>
      <c r="C109" s="5">
        <v>8.9</v>
      </c>
      <c r="D109" s="4">
        <v>94</v>
      </c>
      <c r="E109" s="5">
        <v>17.34</v>
      </c>
      <c r="F109" s="4">
        <v>42</v>
      </c>
      <c r="G109" s="5">
        <v>4.25</v>
      </c>
      <c r="H109" s="4">
        <v>0</v>
      </c>
    </row>
    <row r="110" spans="1:8" x14ac:dyDescent="0.2">
      <c r="A110" s="2" t="s">
        <v>85</v>
      </c>
      <c r="B110" s="4">
        <v>213</v>
      </c>
      <c r="C110" s="5">
        <v>13.84</v>
      </c>
      <c r="D110" s="4">
        <v>140</v>
      </c>
      <c r="E110" s="5">
        <v>25.83</v>
      </c>
      <c r="F110" s="4">
        <v>72</v>
      </c>
      <c r="G110" s="5">
        <v>7.28</v>
      </c>
      <c r="H110" s="4">
        <v>0</v>
      </c>
    </row>
    <row r="111" spans="1:8" x14ac:dyDescent="0.2">
      <c r="A111" s="2" t="s">
        <v>86</v>
      </c>
      <c r="B111" s="4">
        <v>62</v>
      </c>
      <c r="C111" s="5">
        <v>4.03</v>
      </c>
      <c r="D111" s="4">
        <v>30</v>
      </c>
      <c r="E111" s="5">
        <v>5.54</v>
      </c>
      <c r="F111" s="4">
        <v>27</v>
      </c>
      <c r="G111" s="5">
        <v>2.73</v>
      </c>
      <c r="H111" s="4">
        <v>0</v>
      </c>
    </row>
    <row r="112" spans="1:8" x14ac:dyDescent="0.2">
      <c r="A112" s="2" t="s">
        <v>87</v>
      </c>
      <c r="B112" s="4">
        <v>115</v>
      </c>
      <c r="C112" s="5">
        <v>7.47</v>
      </c>
      <c r="D112" s="4">
        <v>62</v>
      </c>
      <c r="E112" s="5">
        <v>11.44</v>
      </c>
      <c r="F112" s="4">
        <v>53</v>
      </c>
      <c r="G112" s="5">
        <v>5.36</v>
      </c>
      <c r="H112" s="4">
        <v>0</v>
      </c>
    </row>
    <row r="113" spans="1:8" x14ac:dyDescent="0.2">
      <c r="A113" s="2" t="s">
        <v>88</v>
      </c>
      <c r="B113" s="4">
        <v>60</v>
      </c>
      <c r="C113" s="5">
        <v>3.9</v>
      </c>
      <c r="D113" s="4">
        <v>6</v>
      </c>
      <c r="E113" s="5">
        <v>1.1100000000000001</v>
      </c>
      <c r="F113" s="4">
        <v>53</v>
      </c>
      <c r="G113" s="5">
        <v>5.36</v>
      </c>
      <c r="H113" s="4">
        <v>0</v>
      </c>
    </row>
    <row r="114" spans="1:8" x14ac:dyDescent="0.2">
      <c r="A114" s="1" t="s">
        <v>7</v>
      </c>
      <c r="B114" s="4">
        <v>1394</v>
      </c>
      <c r="C114" s="5">
        <v>100.01</v>
      </c>
      <c r="D114" s="4">
        <v>483</v>
      </c>
      <c r="E114" s="5">
        <v>100.02000000000001</v>
      </c>
      <c r="F114" s="4">
        <v>906</v>
      </c>
      <c r="G114" s="5">
        <v>100.01</v>
      </c>
      <c r="H114" s="4">
        <v>0</v>
      </c>
    </row>
    <row r="115" spans="1:8" x14ac:dyDescent="0.2">
      <c r="A115" s="2" t="s">
        <v>74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2">
      <c r="A116" s="2" t="s">
        <v>75</v>
      </c>
      <c r="B116" s="4">
        <v>254</v>
      </c>
      <c r="C116" s="5">
        <v>18.22</v>
      </c>
      <c r="D116" s="4">
        <v>38</v>
      </c>
      <c r="E116" s="5">
        <v>7.87</v>
      </c>
      <c r="F116" s="4">
        <v>216</v>
      </c>
      <c r="G116" s="5">
        <v>23.84</v>
      </c>
      <c r="H116" s="4">
        <v>0</v>
      </c>
    </row>
    <row r="117" spans="1:8" x14ac:dyDescent="0.2">
      <c r="A117" s="2" t="s">
        <v>76</v>
      </c>
      <c r="B117" s="4">
        <v>177</v>
      </c>
      <c r="C117" s="5">
        <v>12.7</v>
      </c>
      <c r="D117" s="4">
        <v>25</v>
      </c>
      <c r="E117" s="5">
        <v>5.18</v>
      </c>
      <c r="F117" s="4">
        <v>152</v>
      </c>
      <c r="G117" s="5">
        <v>16.78</v>
      </c>
      <c r="H117" s="4">
        <v>0</v>
      </c>
    </row>
    <row r="118" spans="1:8" x14ac:dyDescent="0.2">
      <c r="A118" s="2" t="s">
        <v>77</v>
      </c>
      <c r="B118" s="4">
        <v>2</v>
      </c>
      <c r="C118" s="5">
        <v>0.14000000000000001</v>
      </c>
      <c r="D118" s="4">
        <v>0</v>
      </c>
      <c r="E118" s="5">
        <v>0</v>
      </c>
      <c r="F118" s="4">
        <v>2</v>
      </c>
      <c r="G118" s="5">
        <v>0.22</v>
      </c>
      <c r="H118" s="4">
        <v>0</v>
      </c>
    </row>
    <row r="119" spans="1:8" x14ac:dyDescent="0.2">
      <c r="A119" s="2" t="s">
        <v>78</v>
      </c>
      <c r="B119" s="4">
        <v>23</v>
      </c>
      <c r="C119" s="5">
        <v>1.65</v>
      </c>
      <c r="D119" s="4">
        <v>1</v>
      </c>
      <c r="E119" s="5">
        <v>0.21</v>
      </c>
      <c r="F119" s="4">
        <v>22</v>
      </c>
      <c r="G119" s="5">
        <v>2.4300000000000002</v>
      </c>
      <c r="H119" s="4">
        <v>0</v>
      </c>
    </row>
    <row r="120" spans="1:8" x14ac:dyDescent="0.2">
      <c r="A120" s="2" t="s">
        <v>79</v>
      </c>
      <c r="B120" s="4">
        <v>22</v>
      </c>
      <c r="C120" s="5">
        <v>1.58</v>
      </c>
      <c r="D120" s="4">
        <v>1</v>
      </c>
      <c r="E120" s="5">
        <v>0.21</v>
      </c>
      <c r="F120" s="4">
        <v>21</v>
      </c>
      <c r="G120" s="5">
        <v>2.3199999999999998</v>
      </c>
      <c r="H120" s="4">
        <v>0</v>
      </c>
    </row>
    <row r="121" spans="1:8" x14ac:dyDescent="0.2">
      <c r="A121" s="2" t="s">
        <v>80</v>
      </c>
      <c r="B121" s="4">
        <v>210</v>
      </c>
      <c r="C121" s="5">
        <v>15.06</v>
      </c>
      <c r="D121" s="4">
        <v>58</v>
      </c>
      <c r="E121" s="5">
        <v>12.01</v>
      </c>
      <c r="F121" s="4">
        <v>152</v>
      </c>
      <c r="G121" s="5">
        <v>16.78</v>
      </c>
      <c r="H121" s="4">
        <v>0</v>
      </c>
    </row>
    <row r="122" spans="1:8" x14ac:dyDescent="0.2">
      <c r="A122" s="2" t="s">
        <v>81</v>
      </c>
      <c r="B122" s="4">
        <v>3</v>
      </c>
      <c r="C122" s="5">
        <v>0.22</v>
      </c>
      <c r="D122" s="4">
        <v>1</v>
      </c>
      <c r="E122" s="5">
        <v>0.21</v>
      </c>
      <c r="F122" s="4">
        <v>2</v>
      </c>
      <c r="G122" s="5">
        <v>0.22</v>
      </c>
      <c r="H122" s="4">
        <v>0</v>
      </c>
    </row>
    <row r="123" spans="1:8" x14ac:dyDescent="0.2">
      <c r="A123" s="2" t="s">
        <v>82</v>
      </c>
      <c r="B123" s="4">
        <v>195</v>
      </c>
      <c r="C123" s="5">
        <v>13.99</v>
      </c>
      <c r="D123" s="4">
        <v>60</v>
      </c>
      <c r="E123" s="5">
        <v>12.42</v>
      </c>
      <c r="F123" s="4">
        <v>135</v>
      </c>
      <c r="G123" s="5">
        <v>14.9</v>
      </c>
      <c r="H123" s="4">
        <v>0</v>
      </c>
    </row>
    <row r="124" spans="1:8" x14ac:dyDescent="0.2">
      <c r="A124" s="2" t="s">
        <v>83</v>
      </c>
      <c r="B124" s="4">
        <v>74</v>
      </c>
      <c r="C124" s="5">
        <v>5.31</v>
      </c>
      <c r="D124" s="4">
        <v>24</v>
      </c>
      <c r="E124" s="5">
        <v>4.97</v>
      </c>
      <c r="F124" s="4">
        <v>50</v>
      </c>
      <c r="G124" s="5">
        <v>5.52</v>
      </c>
      <c r="H124" s="4">
        <v>0</v>
      </c>
    </row>
    <row r="125" spans="1:8" x14ac:dyDescent="0.2">
      <c r="A125" s="2" t="s">
        <v>84</v>
      </c>
      <c r="B125" s="4">
        <v>123</v>
      </c>
      <c r="C125" s="5">
        <v>8.82</v>
      </c>
      <c r="D125" s="4">
        <v>101</v>
      </c>
      <c r="E125" s="5">
        <v>20.91</v>
      </c>
      <c r="F125" s="4">
        <v>22</v>
      </c>
      <c r="G125" s="5">
        <v>2.4300000000000002</v>
      </c>
      <c r="H125" s="4">
        <v>0</v>
      </c>
    </row>
    <row r="126" spans="1:8" x14ac:dyDescent="0.2">
      <c r="A126" s="2" t="s">
        <v>85</v>
      </c>
      <c r="B126" s="4">
        <v>153</v>
      </c>
      <c r="C126" s="5">
        <v>10.98</v>
      </c>
      <c r="D126" s="4">
        <v>106</v>
      </c>
      <c r="E126" s="5">
        <v>21.95</v>
      </c>
      <c r="F126" s="4">
        <v>47</v>
      </c>
      <c r="G126" s="5">
        <v>5.19</v>
      </c>
      <c r="H126" s="4">
        <v>0</v>
      </c>
    </row>
    <row r="127" spans="1:8" x14ac:dyDescent="0.2">
      <c r="A127" s="2" t="s">
        <v>86</v>
      </c>
      <c r="B127" s="4">
        <v>56</v>
      </c>
      <c r="C127" s="5">
        <v>4.0199999999999996</v>
      </c>
      <c r="D127" s="4">
        <v>35</v>
      </c>
      <c r="E127" s="5">
        <v>7.25</v>
      </c>
      <c r="F127" s="4">
        <v>16</v>
      </c>
      <c r="G127" s="5">
        <v>1.77</v>
      </c>
      <c r="H127" s="4">
        <v>0</v>
      </c>
    </row>
    <row r="128" spans="1:8" x14ac:dyDescent="0.2">
      <c r="A128" s="2" t="s">
        <v>87</v>
      </c>
      <c r="B128" s="4">
        <v>57</v>
      </c>
      <c r="C128" s="5">
        <v>4.09</v>
      </c>
      <c r="D128" s="4">
        <v>26</v>
      </c>
      <c r="E128" s="5">
        <v>5.38</v>
      </c>
      <c r="F128" s="4">
        <v>31</v>
      </c>
      <c r="G128" s="5">
        <v>3.42</v>
      </c>
      <c r="H128" s="4">
        <v>0</v>
      </c>
    </row>
    <row r="129" spans="1:8" x14ac:dyDescent="0.2">
      <c r="A129" s="2" t="s">
        <v>88</v>
      </c>
      <c r="B129" s="4">
        <v>45</v>
      </c>
      <c r="C129" s="5">
        <v>3.23</v>
      </c>
      <c r="D129" s="4">
        <v>7</v>
      </c>
      <c r="E129" s="5">
        <v>1.45</v>
      </c>
      <c r="F129" s="4">
        <v>38</v>
      </c>
      <c r="G129" s="5">
        <v>4.1900000000000004</v>
      </c>
      <c r="H129" s="4">
        <v>0</v>
      </c>
    </row>
    <row r="130" spans="1:8" x14ac:dyDescent="0.2">
      <c r="A130" s="1" t="s">
        <v>8</v>
      </c>
      <c r="B130" s="4">
        <v>2910</v>
      </c>
      <c r="C130" s="5">
        <v>100</v>
      </c>
      <c r="D130" s="4">
        <v>1132</v>
      </c>
      <c r="E130" s="5">
        <v>100.01000000000002</v>
      </c>
      <c r="F130" s="4">
        <v>1759</v>
      </c>
      <c r="G130" s="5">
        <v>99.990000000000009</v>
      </c>
      <c r="H130" s="4">
        <v>9</v>
      </c>
    </row>
    <row r="131" spans="1:8" x14ac:dyDescent="0.2">
      <c r="A131" s="2" t="s">
        <v>74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75</v>
      </c>
      <c r="B132" s="4">
        <v>163</v>
      </c>
      <c r="C132" s="5">
        <v>5.6</v>
      </c>
      <c r="D132" s="4">
        <v>31</v>
      </c>
      <c r="E132" s="5">
        <v>2.74</v>
      </c>
      <c r="F132" s="4">
        <v>132</v>
      </c>
      <c r="G132" s="5">
        <v>7.5</v>
      </c>
      <c r="H132" s="4">
        <v>0</v>
      </c>
    </row>
    <row r="133" spans="1:8" x14ac:dyDescent="0.2">
      <c r="A133" s="2" t="s">
        <v>76</v>
      </c>
      <c r="B133" s="4">
        <v>85</v>
      </c>
      <c r="C133" s="5">
        <v>2.92</v>
      </c>
      <c r="D133" s="4">
        <v>15</v>
      </c>
      <c r="E133" s="5">
        <v>1.33</v>
      </c>
      <c r="F133" s="4">
        <v>70</v>
      </c>
      <c r="G133" s="5">
        <v>3.98</v>
      </c>
      <c r="H133" s="4">
        <v>0</v>
      </c>
    </row>
    <row r="134" spans="1:8" x14ac:dyDescent="0.2">
      <c r="A134" s="2" t="s">
        <v>77</v>
      </c>
      <c r="B134" s="4">
        <v>2</v>
      </c>
      <c r="C134" s="5">
        <v>7.0000000000000007E-2</v>
      </c>
      <c r="D134" s="4">
        <v>0</v>
      </c>
      <c r="E134" s="5">
        <v>0</v>
      </c>
      <c r="F134" s="4">
        <v>2</v>
      </c>
      <c r="G134" s="5">
        <v>0.11</v>
      </c>
      <c r="H134" s="4">
        <v>0</v>
      </c>
    </row>
    <row r="135" spans="1:8" x14ac:dyDescent="0.2">
      <c r="A135" s="2" t="s">
        <v>78</v>
      </c>
      <c r="B135" s="4">
        <v>56</v>
      </c>
      <c r="C135" s="5">
        <v>1.92</v>
      </c>
      <c r="D135" s="4">
        <v>0</v>
      </c>
      <c r="E135" s="5">
        <v>0</v>
      </c>
      <c r="F135" s="4">
        <v>56</v>
      </c>
      <c r="G135" s="5">
        <v>3.18</v>
      </c>
      <c r="H135" s="4">
        <v>0</v>
      </c>
    </row>
    <row r="136" spans="1:8" x14ac:dyDescent="0.2">
      <c r="A136" s="2" t="s">
        <v>79</v>
      </c>
      <c r="B136" s="4">
        <v>13</v>
      </c>
      <c r="C136" s="5">
        <v>0.45</v>
      </c>
      <c r="D136" s="4">
        <v>2</v>
      </c>
      <c r="E136" s="5">
        <v>0.18</v>
      </c>
      <c r="F136" s="4">
        <v>11</v>
      </c>
      <c r="G136" s="5">
        <v>0.63</v>
      </c>
      <c r="H136" s="4">
        <v>0</v>
      </c>
    </row>
    <row r="137" spans="1:8" x14ac:dyDescent="0.2">
      <c r="A137" s="2" t="s">
        <v>80</v>
      </c>
      <c r="B137" s="4">
        <v>612</v>
      </c>
      <c r="C137" s="5">
        <v>21.03</v>
      </c>
      <c r="D137" s="4">
        <v>184</v>
      </c>
      <c r="E137" s="5">
        <v>16.25</v>
      </c>
      <c r="F137" s="4">
        <v>427</v>
      </c>
      <c r="G137" s="5">
        <v>24.28</v>
      </c>
      <c r="H137" s="4">
        <v>1</v>
      </c>
    </row>
    <row r="138" spans="1:8" x14ac:dyDescent="0.2">
      <c r="A138" s="2" t="s">
        <v>81</v>
      </c>
      <c r="B138" s="4">
        <v>32</v>
      </c>
      <c r="C138" s="5">
        <v>1.1000000000000001</v>
      </c>
      <c r="D138" s="4">
        <v>2</v>
      </c>
      <c r="E138" s="5">
        <v>0.18</v>
      </c>
      <c r="F138" s="4">
        <v>30</v>
      </c>
      <c r="G138" s="5">
        <v>1.71</v>
      </c>
      <c r="H138" s="4">
        <v>0</v>
      </c>
    </row>
    <row r="139" spans="1:8" x14ac:dyDescent="0.2">
      <c r="A139" s="2" t="s">
        <v>82</v>
      </c>
      <c r="B139" s="4">
        <v>450</v>
      </c>
      <c r="C139" s="5">
        <v>15.46</v>
      </c>
      <c r="D139" s="4">
        <v>68</v>
      </c>
      <c r="E139" s="5">
        <v>6.01</v>
      </c>
      <c r="F139" s="4">
        <v>381</v>
      </c>
      <c r="G139" s="5">
        <v>21.66</v>
      </c>
      <c r="H139" s="4">
        <v>1</v>
      </c>
    </row>
    <row r="140" spans="1:8" x14ac:dyDescent="0.2">
      <c r="A140" s="2" t="s">
        <v>83</v>
      </c>
      <c r="B140" s="4">
        <v>316</v>
      </c>
      <c r="C140" s="5">
        <v>10.86</v>
      </c>
      <c r="D140" s="4">
        <v>162</v>
      </c>
      <c r="E140" s="5">
        <v>14.31</v>
      </c>
      <c r="F140" s="4">
        <v>154</v>
      </c>
      <c r="G140" s="5">
        <v>8.75</v>
      </c>
      <c r="H140" s="4">
        <v>0</v>
      </c>
    </row>
    <row r="141" spans="1:8" x14ac:dyDescent="0.2">
      <c r="A141" s="2" t="s">
        <v>84</v>
      </c>
      <c r="B141" s="4">
        <v>326</v>
      </c>
      <c r="C141" s="5">
        <v>11.2</v>
      </c>
      <c r="D141" s="4">
        <v>218</v>
      </c>
      <c r="E141" s="5">
        <v>19.260000000000002</v>
      </c>
      <c r="F141" s="4">
        <v>108</v>
      </c>
      <c r="G141" s="5">
        <v>6.14</v>
      </c>
      <c r="H141" s="4">
        <v>0</v>
      </c>
    </row>
    <row r="142" spans="1:8" x14ac:dyDescent="0.2">
      <c r="A142" s="2" t="s">
        <v>85</v>
      </c>
      <c r="B142" s="4">
        <v>361</v>
      </c>
      <c r="C142" s="5">
        <v>12.41</v>
      </c>
      <c r="D142" s="4">
        <v>204</v>
      </c>
      <c r="E142" s="5">
        <v>18.02</v>
      </c>
      <c r="F142" s="4">
        <v>156</v>
      </c>
      <c r="G142" s="5">
        <v>8.8699999999999992</v>
      </c>
      <c r="H142" s="4">
        <v>1</v>
      </c>
    </row>
    <row r="143" spans="1:8" x14ac:dyDescent="0.2">
      <c r="A143" s="2" t="s">
        <v>86</v>
      </c>
      <c r="B143" s="4">
        <v>161</v>
      </c>
      <c r="C143" s="5">
        <v>5.53</v>
      </c>
      <c r="D143" s="4">
        <v>85</v>
      </c>
      <c r="E143" s="5">
        <v>7.51</v>
      </c>
      <c r="F143" s="4">
        <v>66</v>
      </c>
      <c r="G143" s="5">
        <v>3.75</v>
      </c>
      <c r="H143" s="4">
        <v>1</v>
      </c>
    </row>
    <row r="144" spans="1:8" x14ac:dyDescent="0.2">
      <c r="A144" s="2" t="s">
        <v>87</v>
      </c>
      <c r="B144" s="4">
        <v>242</v>
      </c>
      <c r="C144" s="5">
        <v>8.32</v>
      </c>
      <c r="D144" s="4">
        <v>148</v>
      </c>
      <c r="E144" s="5">
        <v>13.07</v>
      </c>
      <c r="F144" s="4">
        <v>91</v>
      </c>
      <c r="G144" s="5">
        <v>5.17</v>
      </c>
      <c r="H144" s="4">
        <v>2</v>
      </c>
    </row>
    <row r="145" spans="1:8" x14ac:dyDescent="0.2">
      <c r="A145" s="2" t="s">
        <v>88</v>
      </c>
      <c r="B145" s="4">
        <v>91</v>
      </c>
      <c r="C145" s="5">
        <v>3.13</v>
      </c>
      <c r="D145" s="4">
        <v>13</v>
      </c>
      <c r="E145" s="5">
        <v>1.1499999999999999</v>
      </c>
      <c r="F145" s="4">
        <v>75</v>
      </c>
      <c r="G145" s="5">
        <v>4.26</v>
      </c>
      <c r="H145" s="4">
        <v>3</v>
      </c>
    </row>
    <row r="146" spans="1:8" x14ac:dyDescent="0.2">
      <c r="A146" s="1" t="s">
        <v>9</v>
      </c>
      <c r="B146" s="4">
        <v>2533</v>
      </c>
      <c r="C146" s="5">
        <v>100.02</v>
      </c>
      <c r="D146" s="4">
        <v>796</v>
      </c>
      <c r="E146" s="5">
        <v>100</v>
      </c>
      <c r="F146" s="4">
        <v>1725</v>
      </c>
      <c r="G146" s="5">
        <v>100.01</v>
      </c>
      <c r="H146" s="4">
        <v>4</v>
      </c>
    </row>
    <row r="147" spans="1:8" x14ac:dyDescent="0.2">
      <c r="A147" s="2" t="s">
        <v>74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2">
      <c r="A148" s="2" t="s">
        <v>75</v>
      </c>
      <c r="B148" s="4">
        <v>341</v>
      </c>
      <c r="C148" s="5">
        <v>13.46</v>
      </c>
      <c r="D148" s="4">
        <v>40</v>
      </c>
      <c r="E148" s="5">
        <v>5.03</v>
      </c>
      <c r="F148" s="4">
        <v>300</v>
      </c>
      <c r="G148" s="5">
        <v>17.39</v>
      </c>
      <c r="H148" s="4">
        <v>1</v>
      </c>
    </row>
    <row r="149" spans="1:8" x14ac:dyDescent="0.2">
      <c r="A149" s="2" t="s">
        <v>76</v>
      </c>
      <c r="B149" s="4">
        <v>174</v>
      </c>
      <c r="C149" s="5">
        <v>6.87</v>
      </c>
      <c r="D149" s="4">
        <v>24</v>
      </c>
      <c r="E149" s="5">
        <v>3.02</v>
      </c>
      <c r="F149" s="4">
        <v>150</v>
      </c>
      <c r="G149" s="5">
        <v>8.6999999999999993</v>
      </c>
      <c r="H149" s="4">
        <v>0</v>
      </c>
    </row>
    <row r="150" spans="1:8" x14ac:dyDescent="0.2">
      <c r="A150" s="2" t="s">
        <v>77</v>
      </c>
      <c r="B150" s="4">
        <v>3</v>
      </c>
      <c r="C150" s="5">
        <v>0.12</v>
      </c>
      <c r="D150" s="4">
        <v>0</v>
      </c>
      <c r="E150" s="5">
        <v>0</v>
      </c>
      <c r="F150" s="4">
        <v>3</v>
      </c>
      <c r="G150" s="5">
        <v>0.17</v>
      </c>
      <c r="H150" s="4">
        <v>0</v>
      </c>
    </row>
    <row r="151" spans="1:8" x14ac:dyDescent="0.2">
      <c r="A151" s="2" t="s">
        <v>78</v>
      </c>
      <c r="B151" s="4">
        <v>65</v>
      </c>
      <c r="C151" s="5">
        <v>2.57</v>
      </c>
      <c r="D151" s="4">
        <v>2</v>
      </c>
      <c r="E151" s="5">
        <v>0.25</v>
      </c>
      <c r="F151" s="4">
        <v>63</v>
      </c>
      <c r="G151" s="5">
        <v>3.65</v>
      </c>
      <c r="H151" s="4">
        <v>0</v>
      </c>
    </row>
    <row r="152" spans="1:8" x14ac:dyDescent="0.2">
      <c r="A152" s="2" t="s">
        <v>79</v>
      </c>
      <c r="B152" s="4">
        <v>24</v>
      </c>
      <c r="C152" s="5">
        <v>0.95</v>
      </c>
      <c r="D152" s="4">
        <v>3</v>
      </c>
      <c r="E152" s="5">
        <v>0.38</v>
      </c>
      <c r="F152" s="4">
        <v>21</v>
      </c>
      <c r="G152" s="5">
        <v>1.22</v>
      </c>
      <c r="H152" s="4">
        <v>0</v>
      </c>
    </row>
    <row r="153" spans="1:8" x14ac:dyDescent="0.2">
      <c r="A153" s="2" t="s">
        <v>80</v>
      </c>
      <c r="B153" s="4">
        <v>392</v>
      </c>
      <c r="C153" s="5">
        <v>15.48</v>
      </c>
      <c r="D153" s="4">
        <v>102</v>
      </c>
      <c r="E153" s="5">
        <v>12.81</v>
      </c>
      <c r="F153" s="4">
        <v>289</v>
      </c>
      <c r="G153" s="5">
        <v>16.75</v>
      </c>
      <c r="H153" s="4">
        <v>1</v>
      </c>
    </row>
    <row r="154" spans="1:8" x14ac:dyDescent="0.2">
      <c r="A154" s="2" t="s">
        <v>81</v>
      </c>
      <c r="B154" s="4">
        <v>19</v>
      </c>
      <c r="C154" s="5">
        <v>0.75</v>
      </c>
      <c r="D154" s="4">
        <v>2</v>
      </c>
      <c r="E154" s="5">
        <v>0.25</v>
      </c>
      <c r="F154" s="4">
        <v>17</v>
      </c>
      <c r="G154" s="5">
        <v>0.99</v>
      </c>
      <c r="H154" s="4">
        <v>0</v>
      </c>
    </row>
    <row r="155" spans="1:8" x14ac:dyDescent="0.2">
      <c r="A155" s="2" t="s">
        <v>82</v>
      </c>
      <c r="B155" s="4">
        <v>428</v>
      </c>
      <c r="C155" s="5">
        <v>16.899999999999999</v>
      </c>
      <c r="D155" s="4">
        <v>56</v>
      </c>
      <c r="E155" s="5">
        <v>7.04</v>
      </c>
      <c r="F155" s="4">
        <v>372</v>
      </c>
      <c r="G155" s="5">
        <v>21.57</v>
      </c>
      <c r="H155" s="4">
        <v>0</v>
      </c>
    </row>
    <row r="156" spans="1:8" x14ac:dyDescent="0.2">
      <c r="A156" s="2" t="s">
        <v>83</v>
      </c>
      <c r="B156" s="4">
        <v>218</v>
      </c>
      <c r="C156" s="5">
        <v>8.61</v>
      </c>
      <c r="D156" s="4">
        <v>63</v>
      </c>
      <c r="E156" s="5">
        <v>7.91</v>
      </c>
      <c r="F156" s="4">
        <v>153</v>
      </c>
      <c r="G156" s="5">
        <v>8.8699999999999992</v>
      </c>
      <c r="H156" s="4">
        <v>1</v>
      </c>
    </row>
    <row r="157" spans="1:8" x14ac:dyDescent="0.2">
      <c r="A157" s="2" t="s">
        <v>84</v>
      </c>
      <c r="B157" s="4">
        <v>198</v>
      </c>
      <c r="C157" s="5">
        <v>7.82</v>
      </c>
      <c r="D157" s="4">
        <v>140</v>
      </c>
      <c r="E157" s="5">
        <v>17.59</v>
      </c>
      <c r="F157" s="4">
        <v>58</v>
      </c>
      <c r="G157" s="5">
        <v>3.36</v>
      </c>
      <c r="H157" s="4">
        <v>0</v>
      </c>
    </row>
    <row r="158" spans="1:8" x14ac:dyDescent="0.2">
      <c r="A158" s="2" t="s">
        <v>85</v>
      </c>
      <c r="B158" s="4">
        <v>299</v>
      </c>
      <c r="C158" s="5">
        <v>11.8</v>
      </c>
      <c r="D158" s="4">
        <v>189</v>
      </c>
      <c r="E158" s="5">
        <v>23.74</v>
      </c>
      <c r="F158" s="4">
        <v>110</v>
      </c>
      <c r="G158" s="5">
        <v>6.38</v>
      </c>
      <c r="H158" s="4">
        <v>0</v>
      </c>
    </row>
    <row r="159" spans="1:8" x14ac:dyDescent="0.2">
      <c r="A159" s="2" t="s">
        <v>86</v>
      </c>
      <c r="B159" s="4">
        <v>137</v>
      </c>
      <c r="C159" s="5">
        <v>5.41</v>
      </c>
      <c r="D159" s="4">
        <v>69</v>
      </c>
      <c r="E159" s="5">
        <v>8.67</v>
      </c>
      <c r="F159" s="4">
        <v>61</v>
      </c>
      <c r="G159" s="5">
        <v>3.54</v>
      </c>
      <c r="H159" s="4">
        <v>0</v>
      </c>
    </row>
    <row r="160" spans="1:8" x14ac:dyDescent="0.2">
      <c r="A160" s="2" t="s">
        <v>87</v>
      </c>
      <c r="B160" s="4">
        <v>155</v>
      </c>
      <c r="C160" s="5">
        <v>6.12</v>
      </c>
      <c r="D160" s="4">
        <v>95</v>
      </c>
      <c r="E160" s="5">
        <v>11.93</v>
      </c>
      <c r="F160" s="4">
        <v>60</v>
      </c>
      <c r="G160" s="5">
        <v>3.48</v>
      </c>
      <c r="H160" s="4">
        <v>0</v>
      </c>
    </row>
    <row r="161" spans="1:8" x14ac:dyDescent="0.2">
      <c r="A161" s="2" t="s">
        <v>88</v>
      </c>
      <c r="B161" s="4">
        <v>80</v>
      </c>
      <c r="C161" s="5">
        <v>3.16</v>
      </c>
      <c r="D161" s="4">
        <v>11</v>
      </c>
      <c r="E161" s="5">
        <v>1.38</v>
      </c>
      <c r="F161" s="4">
        <v>68</v>
      </c>
      <c r="G161" s="5">
        <v>3.94</v>
      </c>
      <c r="H161" s="4">
        <v>1</v>
      </c>
    </row>
    <row r="162" spans="1:8" x14ac:dyDescent="0.2">
      <c r="A162" s="1" t="s">
        <v>10</v>
      </c>
      <c r="B162" s="4">
        <v>1559</v>
      </c>
      <c r="C162" s="5">
        <v>99.990000000000009</v>
      </c>
      <c r="D162" s="4">
        <v>489</v>
      </c>
      <c r="E162" s="5">
        <v>100.00999999999999</v>
      </c>
      <c r="F162" s="4">
        <v>1066</v>
      </c>
      <c r="G162" s="5">
        <v>100.01999999999998</v>
      </c>
      <c r="H162" s="4">
        <v>0</v>
      </c>
    </row>
    <row r="163" spans="1:8" x14ac:dyDescent="0.2">
      <c r="A163" s="2" t="s">
        <v>74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2">
      <c r="A164" s="2" t="s">
        <v>75</v>
      </c>
      <c r="B164" s="4">
        <v>297</v>
      </c>
      <c r="C164" s="5">
        <v>19.05</v>
      </c>
      <c r="D164" s="4">
        <v>48</v>
      </c>
      <c r="E164" s="5">
        <v>9.82</v>
      </c>
      <c r="F164" s="4">
        <v>249</v>
      </c>
      <c r="G164" s="5">
        <v>23.36</v>
      </c>
      <c r="H164" s="4">
        <v>0</v>
      </c>
    </row>
    <row r="165" spans="1:8" x14ac:dyDescent="0.2">
      <c r="A165" s="2" t="s">
        <v>76</v>
      </c>
      <c r="B165" s="4">
        <v>159</v>
      </c>
      <c r="C165" s="5">
        <v>10.199999999999999</v>
      </c>
      <c r="D165" s="4">
        <v>44</v>
      </c>
      <c r="E165" s="5">
        <v>9</v>
      </c>
      <c r="F165" s="4">
        <v>115</v>
      </c>
      <c r="G165" s="5">
        <v>10.79</v>
      </c>
      <c r="H165" s="4">
        <v>0</v>
      </c>
    </row>
    <row r="166" spans="1:8" x14ac:dyDescent="0.2">
      <c r="A166" s="2" t="s">
        <v>77</v>
      </c>
      <c r="B166" s="4">
        <v>2</v>
      </c>
      <c r="C166" s="5">
        <v>0.13</v>
      </c>
      <c r="D166" s="4">
        <v>0</v>
      </c>
      <c r="E166" s="5">
        <v>0</v>
      </c>
      <c r="F166" s="4">
        <v>2</v>
      </c>
      <c r="G166" s="5">
        <v>0.19</v>
      </c>
      <c r="H166" s="4">
        <v>0</v>
      </c>
    </row>
    <row r="167" spans="1:8" x14ac:dyDescent="0.2">
      <c r="A167" s="2" t="s">
        <v>78</v>
      </c>
      <c r="B167" s="4">
        <v>24</v>
      </c>
      <c r="C167" s="5">
        <v>1.54</v>
      </c>
      <c r="D167" s="4">
        <v>0</v>
      </c>
      <c r="E167" s="5">
        <v>0</v>
      </c>
      <c r="F167" s="4">
        <v>24</v>
      </c>
      <c r="G167" s="5">
        <v>2.25</v>
      </c>
      <c r="H167" s="4">
        <v>0</v>
      </c>
    </row>
    <row r="168" spans="1:8" x14ac:dyDescent="0.2">
      <c r="A168" s="2" t="s">
        <v>79</v>
      </c>
      <c r="B168" s="4">
        <v>13</v>
      </c>
      <c r="C168" s="5">
        <v>0.83</v>
      </c>
      <c r="D168" s="4">
        <v>1</v>
      </c>
      <c r="E168" s="5">
        <v>0.2</v>
      </c>
      <c r="F168" s="4">
        <v>12</v>
      </c>
      <c r="G168" s="5">
        <v>1.1299999999999999</v>
      </c>
      <c r="H168" s="4">
        <v>0</v>
      </c>
    </row>
    <row r="169" spans="1:8" x14ac:dyDescent="0.2">
      <c r="A169" s="2" t="s">
        <v>80</v>
      </c>
      <c r="B169" s="4">
        <v>295</v>
      </c>
      <c r="C169" s="5">
        <v>18.920000000000002</v>
      </c>
      <c r="D169" s="4">
        <v>67</v>
      </c>
      <c r="E169" s="5">
        <v>13.7</v>
      </c>
      <c r="F169" s="4">
        <v>228</v>
      </c>
      <c r="G169" s="5">
        <v>21.39</v>
      </c>
      <c r="H169" s="4">
        <v>0</v>
      </c>
    </row>
    <row r="170" spans="1:8" x14ac:dyDescent="0.2">
      <c r="A170" s="2" t="s">
        <v>81</v>
      </c>
      <c r="B170" s="4">
        <v>12</v>
      </c>
      <c r="C170" s="5">
        <v>0.77</v>
      </c>
      <c r="D170" s="4">
        <v>2</v>
      </c>
      <c r="E170" s="5">
        <v>0.41</v>
      </c>
      <c r="F170" s="4">
        <v>10</v>
      </c>
      <c r="G170" s="5">
        <v>0.94</v>
      </c>
      <c r="H170" s="4">
        <v>0</v>
      </c>
    </row>
    <row r="171" spans="1:8" x14ac:dyDescent="0.2">
      <c r="A171" s="2" t="s">
        <v>82</v>
      </c>
      <c r="B171" s="4">
        <v>193</v>
      </c>
      <c r="C171" s="5">
        <v>12.38</v>
      </c>
      <c r="D171" s="4">
        <v>28</v>
      </c>
      <c r="E171" s="5">
        <v>5.73</v>
      </c>
      <c r="F171" s="4">
        <v>165</v>
      </c>
      <c r="G171" s="5">
        <v>15.48</v>
      </c>
      <c r="H171" s="4">
        <v>0</v>
      </c>
    </row>
    <row r="172" spans="1:8" x14ac:dyDescent="0.2">
      <c r="A172" s="2" t="s">
        <v>83</v>
      </c>
      <c r="B172" s="4">
        <v>103</v>
      </c>
      <c r="C172" s="5">
        <v>6.61</v>
      </c>
      <c r="D172" s="4">
        <v>32</v>
      </c>
      <c r="E172" s="5">
        <v>6.54</v>
      </c>
      <c r="F172" s="4">
        <v>71</v>
      </c>
      <c r="G172" s="5">
        <v>6.66</v>
      </c>
      <c r="H172" s="4">
        <v>0</v>
      </c>
    </row>
    <row r="173" spans="1:8" x14ac:dyDescent="0.2">
      <c r="A173" s="2" t="s">
        <v>84</v>
      </c>
      <c r="B173" s="4">
        <v>93</v>
      </c>
      <c r="C173" s="5">
        <v>5.97</v>
      </c>
      <c r="D173" s="4">
        <v>68</v>
      </c>
      <c r="E173" s="5">
        <v>13.91</v>
      </c>
      <c r="F173" s="4">
        <v>25</v>
      </c>
      <c r="G173" s="5">
        <v>2.35</v>
      </c>
      <c r="H173" s="4">
        <v>0</v>
      </c>
    </row>
    <row r="174" spans="1:8" x14ac:dyDescent="0.2">
      <c r="A174" s="2" t="s">
        <v>85</v>
      </c>
      <c r="B174" s="4">
        <v>158</v>
      </c>
      <c r="C174" s="5">
        <v>10.130000000000001</v>
      </c>
      <c r="D174" s="4">
        <v>94</v>
      </c>
      <c r="E174" s="5">
        <v>19.22</v>
      </c>
      <c r="F174" s="4">
        <v>64</v>
      </c>
      <c r="G174" s="5">
        <v>6</v>
      </c>
      <c r="H174" s="4">
        <v>0</v>
      </c>
    </row>
    <row r="175" spans="1:8" x14ac:dyDescent="0.2">
      <c r="A175" s="2" t="s">
        <v>86</v>
      </c>
      <c r="B175" s="4">
        <v>76</v>
      </c>
      <c r="C175" s="5">
        <v>4.87</v>
      </c>
      <c r="D175" s="4">
        <v>44</v>
      </c>
      <c r="E175" s="5">
        <v>9</v>
      </c>
      <c r="F175" s="4">
        <v>28</v>
      </c>
      <c r="G175" s="5">
        <v>2.63</v>
      </c>
      <c r="H175" s="4">
        <v>0</v>
      </c>
    </row>
    <row r="176" spans="1:8" x14ac:dyDescent="0.2">
      <c r="A176" s="2" t="s">
        <v>87</v>
      </c>
      <c r="B176" s="4">
        <v>87</v>
      </c>
      <c r="C176" s="5">
        <v>5.58</v>
      </c>
      <c r="D176" s="4">
        <v>48</v>
      </c>
      <c r="E176" s="5">
        <v>9.82</v>
      </c>
      <c r="F176" s="4">
        <v>39</v>
      </c>
      <c r="G176" s="5">
        <v>3.66</v>
      </c>
      <c r="H176" s="4">
        <v>0</v>
      </c>
    </row>
    <row r="177" spans="1:8" x14ac:dyDescent="0.2">
      <c r="A177" s="2" t="s">
        <v>88</v>
      </c>
      <c r="B177" s="4">
        <v>47</v>
      </c>
      <c r="C177" s="5">
        <v>3.01</v>
      </c>
      <c r="D177" s="4">
        <v>13</v>
      </c>
      <c r="E177" s="5">
        <v>2.66</v>
      </c>
      <c r="F177" s="4">
        <v>34</v>
      </c>
      <c r="G177" s="5">
        <v>3.19</v>
      </c>
      <c r="H177" s="4">
        <v>0</v>
      </c>
    </row>
    <row r="178" spans="1:8" x14ac:dyDescent="0.2">
      <c r="A178" s="1" t="s">
        <v>11</v>
      </c>
      <c r="B178" s="4">
        <v>2266</v>
      </c>
      <c r="C178" s="5">
        <v>100</v>
      </c>
      <c r="D178" s="4">
        <v>900</v>
      </c>
      <c r="E178" s="5">
        <v>100.01</v>
      </c>
      <c r="F178" s="4">
        <v>1357</v>
      </c>
      <c r="G178" s="5">
        <v>100.01999999999998</v>
      </c>
      <c r="H178" s="4">
        <v>4</v>
      </c>
    </row>
    <row r="179" spans="1:8" x14ac:dyDescent="0.2">
      <c r="A179" s="2" t="s">
        <v>74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2">
      <c r="A180" s="2" t="s">
        <v>75</v>
      </c>
      <c r="B180" s="4">
        <v>419</v>
      </c>
      <c r="C180" s="5">
        <v>18.489999999999998</v>
      </c>
      <c r="D180" s="4">
        <v>95</v>
      </c>
      <c r="E180" s="5">
        <v>10.56</v>
      </c>
      <c r="F180" s="4">
        <v>324</v>
      </c>
      <c r="G180" s="5">
        <v>23.88</v>
      </c>
      <c r="H180" s="4">
        <v>0</v>
      </c>
    </row>
    <row r="181" spans="1:8" x14ac:dyDescent="0.2">
      <c r="A181" s="2" t="s">
        <v>76</v>
      </c>
      <c r="B181" s="4">
        <v>447</v>
      </c>
      <c r="C181" s="5">
        <v>19.73</v>
      </c>
      <c r="D181" s="4">
        <v>118</v>
      </c>
      <c r="E181" s="5">
        <v>13.11</v>
      </c>
      <c r="F181" s="4">
        <v>329</v>
      </c>
      <c r="G181" s="5">
        <v>24.24</v>
      </c>
      <c r="H181" s="4">
        <v>0</v>
      </c>
    </row>
    <row r="182" spans="1:8" x14ac:dyDescent="0.2">
      <c r="A182" s="2" t="s">
        <v>77</v>
      </c>
      <c r="B182" s="4">
        <v>0</v>
      </c>
      <c r="C182" s="5">
        <v>0</v>
      </c>
      <c r="D182" s="4">
        <v>0</v>
      </c>
      <c r="E182" s="5">
        <v>0</v>
      </c>
      <c r="F182" s="4">
        <v>0</v>
      </c>
      <c r="G182" s="5">
        <v>0</v>
      </c>
      <c r="H182" s="4">
        <v>0</v>
      </c>
    </row>
    <row r="183" spans="1:8" x14ac:dyDescent="0.2">
      <c r="A183" s="2" t="s">
        <v>78</v>
      </c>
      <c r="B183" s="4">
        <v>11</v>
      </c>
      <c r="C183" s="5">
        <v>0.49</v>
      </c>
      <c r="D183" s="4">
        <v>1</v>
      </c>
      <c r="E183" s="5">
        <v>0.11</v>
      </c>
      <c r="F183" s="4">
        <v>10</v>
      </c>
      <c r="G183" s="5">
        <v>0.74</v>
      </c>
      <c r="H183" s="4">
        <v>0</v>
      </c>
    </row>
    <row r="184" spans="1:8" x14ac:dyDescent="0.2">
      <c r="A184" s="2" t="s">
        <v>79</v>
      </c>
      <c r="B184" s="4">
        <v>44</v>
      </c>
      <c r="C184" s="5">
        <v>1.94</v>
      </c>
      <c r="D184" s="4">
        <v>2</v>
      </c>
      <c r="E184" s="5">
        <v>0.22</v>
      </c>
      <c r="F184" s="4">
        <v>42</v>
      </c>
      <c r="G184" s="5">
        <v>3.1</v>
      </c>
      <c r="H184" s="4">
        <v>0</v>
      </c>
    </row>
    <row r="185" spans="1:8" x14ac:dyDescent="0.2">
      <c r="A185" s="2" t="s">
        <v>80</v>
      </c>
      <c r="B185" s="4">
        <v>433</v>
      </c>
      <c r="C185" s="5">
        <v>19.11</v>
      </c>
      <c r="D185" s="4">
        <v>174</v>
      </c>
      <c r="E185" s="5">
        <v>19.329999999999998</v>
      </c>
      <c r="F185" s="4">
        <v>259</v>
      </c>
      <c r="G185" s="5">
        <v>19.09</v>
      </c>
      <c r="H185" s="4">
        <v>0</v>
      </c>
    </row>
    <row r="186" spans="1:8" x14ac:dyDescent="0.2">
      <c r="A186" s="2" t="s">
        <v>81</v>
      </c>
      <c r="B186" s="4">
        <v>12</v>
      </c>
      <c r="C186" s="5">
        <v>0.53</v>
      </c>
      <c r="D186" s="4">
        <v>2</v>
      </c>
      <c r="E186" s="5">
        <v>0.22</v>
      </c>
      <c r="F186" s="4">
        <v>10</v>
      </c>
      <c r="G186" s="5">
        <v>0.74</v>
      </c>
      <c r="H186" s="4">
        <v>0</v>
      </c>
    </row>
    <row r="187" spans="1:8" x14ac:dyDescent="0.2">
      <c r="A187" s="2" t="s">
        <v>82</v>
      </c>
      <c r="B187" s="4">
        <v>173</v>
      </c>
      <c r="C187" s="5">
        <v>7.63</v>
      </c>
      <c r="D187" s="4">
        <v>34</v>
      </c>
      <c r="E187" s="5">
        <v>3.78</v>
      </c>
      <c r="F187" s="4">
        <v>139</v>
      </c>
      <c r="G187" s="5">
        <v>10.24</v>
      </c>
      <c r="H187" s="4">
        <v>0</v>
      </c>
    </row>
    <row r="188" spans="1:8" x14ac:dyDescent="0.2">
      <c r="A188" s="2" t="s">
        <v>83</v>
      </c>
      <c r="B188" s="4">
        <v>95</v>
      </c>
      <c r="C188" s="5">
        <v>4.1900000000000004</v>
      </c>
      <c r="D188" s="4">
        <v>50</v>
      </c>
      <c r="E188" s="5">
        <v>5.56</v>
      </c>
      <c r="F188" s="4">
        <v>45</v>
      </c>
      <c r="G188" s="5">
        <v>3.32</v>
      </c>
      <c r="H188" s="4">
        <v>0</v>
      </c>
    </row>
    <row r="189" spans="1:8" x14ac:dyDescent="0.2">
      <c r="A189" s="2" t="s">
        <v>84</v>
      </c>
      <c r="B189" s="4">
        <v>146</v>
      </c>
      <c r="C189" s="5">
        <v>6.44</v>
      </c>
      <c r="D189" s="4">
        <v>122</v>
      </c>
      <c r="E189" s="5">
        <v>13.56</v>
      </c>
      <c r="F189" s="4">
        <v>24</v>
      </c>
      <c r="G189" s="5">
        <v>1.77</v>
      </c>
      <c r="H189" s="4">
        <v>0</v>
      </c>
    </row>
    <row r="190" spans="1:8" x14ac:dyDescent="0.2">
      <c r="A190" s="2" t="s">
        <v>85</v>
      </c>
      <c r="B190" s="4">
        <v>242</v>
      </c>
      <c r="C190" s="5">
        <v>10.68</v>
      </c>
      <c r="D190" s="4">
        <v>188</v>
      </c>
      <c r="E190" s="5">
        <v>20.89</v>
      </c>
      <c r="F190" s="4">
        <v>54</v>
      </c>
      <c r="G190" s="5">
        <v>3.98</v>
      </c>
      <c r="H190" s="4">
        <v>0</v>
      </c>
    </row>
    <row r="191" spans="1:8" x14ac:dyDescent="0.2">
      <c r="A191" s="2" t="s">
        <v>86</v>
      </c>
      <c r="B191" s="4">
        <v>53</v>
      </c>
      <c r="C191" s="5">
        <v>2.34</v>
      </c>
      <c r="D191" s="4">
        <v>36</v>
      </c>
      <c r="E191" s="5">
        <v>4</v>
      </c>
      <c r="F191" s="4">
        <v>13</v>
      </c>
      <c r="G191" s="5">
        <v>0.96</v>
      </c>
      <c r="H191" s="4">
        <v>0</v>
      </c>
    </row>
    <row r="192" spans="1:8" x14ac:dyDescent="0.2">
      <c r="A192" s="2" t="s">
        <v>87</v>
      </c>
      <c r="B192" s="4">
        <v>97</v>
      </c>
      <c r="C192" s="5">
        <v>4.28</v>
      </c>
      <c r="D192" s="4">
        <v>52</v>
      </c>
      <c r="E192" s="5">
        <v>5.78</v>
      </c>
      <c r="F192" s="4">
        <v>43</v>
      </c>
      <c r="G192" s="5">
        <v>3.17</v>
      </c>
      <c r="H192" s="4">
        <v>2</v>
      </c>
    </row>
    <row r="193" spans="1:8" x14ac:dyDescent="0.2">
      <c r="A193" s="2" t="s">
        <v>88</v>
      </c>
      <c r="B193" s="4">
        <v>94</v>
      </c>
      <c r="C193" s="5">
        <v>4.1500000000000004</v>
      </c>
      <c r="D193" s="4">
        <v>26</v>
      </c>
      <c r="E193" s="5">
        <v>2.89</v>
      </c>
      <c r="F193" s="4">
        <v>65</v>
      </c>
      <c r="G193" s="5">
        <v>4.79</v>
      </c>
      <c r="H193" s="4">
        <v>2</v>
      </c>
    </row>
    <row r="194" spans="1:8" x14ac:dyDescent="0.2">
      <c r="A194" s="1" t="s">
        <v>12</v>
      </c>
      <c r="B194" s="4">
        <v>5868</v>
      </c>
      <c r="C194" s="5">
        <v>100.00000000000001</v>
      </c>
      <c r="D194" s="4">
        <v>2393</v>
      </c>
      <c r="E194" s="5">
        <v>100.00000000000001</v>
      </c>
      <c r="F194" s="4">
        <v>3451</v>
      </c>
      <c r="G194" s="5">
        <v>99.990000000000009</v>
      </c>
      <c r="H194" s="4">
        <v>4</v>
      </c>
    </row>
    <row r="195" spans="1:8" x14ac:dyDescent="0.2">
      <c r="A195" s="2" t="s">
        <v>74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75</v>
      </c>
      <c r="B196" s="4">
        <v>926</v>
      </c>
      <c r="C196" s="5">
        <v>15.78</v>
      </c>
      <c r="D196" s="4">
        <v>184</v>
      </c>
      <c r="E196" s="5">
        <v>7.69</v>
      </c>
      <c r="F196" s="4">
        <v>742</v>
      </c>
      <c r="G196" s="5">
        <v>21.5</v>
      </c>
      <c r="H196" s="4">
        <v>0</v>
      </c>
    </row>
    <row r="197" spans="1:8" x14ac:dyDescent="0.2">
      <c r="A197" s="2" t="s">
        <v>76</v>
      </c>
      <c r="B197" s="4">
        <v>550</v>
      </c>
      <c r="C197" s="5">
        <v>9.3699999999999992</v>
      </c>
      <c r="D197" s="4">
        <v>124</v>
      </c>
      <c r="E197" s="5">
        <v>5.18</v>
      </c>
      <c r="F197" s="4">
        <v>425</v>
      </c>
      <c r="G197" s="5">
        <v>12.32</v>
      </c>
      <c r="H197" s="4">
        <v>1</v>
      </c>
    </row>
    <row r="198" spans="1:8" x14ac:dyDescent="0.2">
      <c r="A198" s="2" t="s">
        <v>77</v>
      </c>
      <c r="B198" s="4">
        <v>2</v>
      </c>
      <c r="C198" s="5">
        <v>0.03</v>
      </c>
      <c r="D198" s="4">
        <v>0</v>
      </c>
      <c r="E198" s="5">
        <v>0</v>
      </c>
      <c r="F198" s="4">
        <v>2</v>
      </c>
      <c r="G198" s="5">
        <v>0.06</v>
      </c>
      <c r="H198" s="4">
        <v>0</v>
      </c>
    </row>
    <row r="199" spans="1:8" x14ac:dyDescent="0.2">
      <c r="A199" s="2" t="s">
        <v>78</v>
      </c>
      <c r="B199" s="4">
        <v>69</v>
      </c>
      <c r="C199" s="5">
        <v>1.18</v>
      </c>
      <c r="D199" s="4">
        <v>4</v>
      </c>
      <c r="E199" s="5">
        <v>0.17</v>
      </c>
      <c r="F199" s="4">
        <v>65</v>
      </c>
      <c r="G199" s="5">
        <v>1.88</v>
      </c>
      <c r="H199" s="4">
        <v>0</v>
      </c>
    </row>
    <row r="200" spans="1:8" x14ac:dyDescent="0.2">
      <c r="A200" s="2" t="s">
        <v>79</v>
      </c>
      <c r="B200" s="4">
        <v>60</v>
      </c>
      <c r="C200" s="5">
        <v>1.02</v>
      </c>
      <c r="D200" s="4">
        <v>2</v>
      </c>
      <c r="E200" s="5">
        <v>0.08</v>
      </c>
      <c r="F200" s="4">
        <v>58</v>
      </c>
      <c r="G200" s="5">
        <v>1.68</v>
      </c>
      <c r="H200" s="4">
        <v>0</v>
      </c>
    </row>
    <row r="201" spans="1:8" x14ac:dyDescent="0.2">
      <c r="A201" s="2" t="s">
        <v>80</v>
      </c>
      <c r="B201" s="4">
        <v>1210</v>
      </c>
      <c r="C201" s="5">
        <v>20.62</v>
      </c>
      <c r="D201" s="4">
        <v>458</v>
      </c>
      <c r="E201" s="5">
        <v>19.14</v>
      </c>
      <c r="F201" s="4">
        <v>751</v>
      </c>
      <c r="G201" s="5">
        <v>21.76</v>
      </c>
      <c r="H201" s="4">
        <v>1</v>
      </c>
    </row>
    <row r="202" spans="1:8" x14ac:dyDescent="0.2">
      <c r="A202" s="2" t="s">
        <v>81</v>
      </c>
      <c r="B202" s="4">
        <v>37</v>
      </c>
      <c r="C202" s="5">
        <v>0.63</v>
      </c>
      <c r="D202" s="4">
        <v>4</v>
      </c>
      <c r="E202" s="5">
        <v>0.17</v>
      </c>
      <c r="F202" s="4">
        <v>33</v>
      </c>
      <c r="G202" s="5">
        <v>0.96</v>
      </c>
      <c r="H202" s="4">
        <v>0</v>
      </c>
    </row>
    <row r="203" spans="1:8" x14ac:dyDescent="0.2">
      <c r="A203" s="2" t="s">
        <v>82</v>
      </c>
      <c r="B203" s="4">
        <v>582</v>
      </c>
      <c r="C203" s="5">
        <v>9.92</v>
      </c>
      <c r="D203" s="4">
        <v>91</v>
      </c>
      <c r="E203" s="5">
        <v>3.8</v>
      </c>
      <c r="F203" s="4">
        <v>491</v>
      </c>
      <c r="G203" s="5">
        <v>14.23</v>
      </c>
      <c r="H203" s="4">
        <v>0</v>
      </c>
    </row>
    <row r="204" spans="1:8" x14ac:dyDescent="0.2">
      <c r="A204" s="2" t="s">
        <v>83</v>
      </c>
      <c r="B204" s="4">
        <v>371</v>
      </c>
      <c r="C204" s="5">
        <v>6.32</v>
      </c>
      <c r="D204" s="4">
        <v>183</v>
      </c>
      <c r="E204" s="5">
        <v>7.65</v>
      </c>
      <c r="F204" s="4">
        <v>186</v>
      </c>
      <c r="G204" s="5">
        <v>5.39</v>
      </c>
      <c r="H204" s="4">
        <v>0</v>
      </c>
    </row>
    <row r="205" spans="1:8" x14ac:dyDescent="0.2">
      <c r="A205" s="2" t="s">
        <v>84</v>
      </c>
      <c r="B205" s="4">
        <v>568</v>
      </c>
      <c r="C205" s="5">
        <v>9.68</v>
      </c>
      <c r="D205" s="4">
        <v>414</v>
      </c>
      <c r="E205" s="5">
        <v>17.3</v>
      </c>
      <c r="F205" s="4">
        <v>153</v>
      </c>
      <c r="G205" s="5">
        <v>4.43</v>
      </c>
      <c r="H205" s="4">
        <v>0</v>
      </c>
    </row>
    <row r="206" spans="1:8" x14ac:dyDescent="0.2">
      <c r="A206" s="2" t="s">
        <v>85</v>
      </c>
      <c r="B206" s="4">
        <v>687</v>
      </c>
      <c r="C206" s="5">
        <v>11.71</v>
      </c>
      <c r="D206" s="4">
        <v>494</v>
      </c>
      <c r="E206" s="5">
        <v>20.64</v>
      </c>
      <c r="F206" s="4">
        <v>191</v>
      </c>
      <c r="G206" s="5">
        <v>5.53</v>
      </c>
      <c r="H206" s="4">
        <v>0</v>
      </c>
    </row>
    <row r="207" spans="1:8" x14ac:dyDescent="0.2">
      <c r="A207" s="2" t="s">
        <v>86</v>
      </c>
      <c r="B207" s="4">
        <v>236</v>
      </c>
      <c r="C207" s="5">
        <v>4.0199999999999996</v>
      </c>
      <c r="D207" s="4">
        <v>164</v>
      </c>
      <c r="E207" s="5">
        <v>6.85</v>
      </c>
      <c r="F207" s="4">
        <v>65</v>
      </c>
      <c r="G207" s="5">
        <v>1.88</v>
      </c>
      <c r="H207" s="4">
        <v>1</v>
      </c>
    </row>
    <row r="208" spans="1:8" x14ac:dyDescent="0.2">
      <c r="A208" s="2" t="s">
        <v>87</v>
      </c>
      <c r="B208" s="4">
        <v>309</v>
      </c>
      <c r="C208" s="5">
        <v>5.27</v>
      </c>
      <c r="D208" s="4">
        <v>199</v>
      </c>
      <c r="E208" s="5">
        <v>8.32</v>
      </c>
      <c r="F208" s="4">
        <v>103</v>
      </c>
      <c r="G208" s="5">
        <v>2.98</v>
      </c>
      <c r="H208" s="4">
        <v>0</v>
      </c>
    </row>
    <row r="209" spans="1:8" x14ac:dyDescent="0.2">
      <c r="A209" s="2" t="s">
        <v>88</v>
      </c>
      <c r="B209" s="4">
        <v>261</v>
      </c>
      <c r="C209" s="5">
        <v>4.45</v>
      </c>
      <c r="D209" s="4">
        <v>72</v>
      </c>
      <c r="E209" s="5">
        <v>3.01</v>
      </c>
      <c r="F209" s="4">
        <v>186</v>
      </c>
      <c r="G209" s="5">
        <v>5.39</v>
      </c>
      <c r="H209" s="4">
        <v>1</v>
      </c>
    </row>
    <row r="210" spans="1:8" x14ac:dyDescent="0.2">
      <c r="A210" s="1" t="s">
        <v>13</v>
      </c>
      <c r="B210" s="4">
        <v>4537</v>
      </c>
      <c r="C210" s="5">
        <v>100.01</v>
      </c>
      <c r="D210" s="4">
        <v>2246</v>
      </c>
      <c r="E210" s="5">
        <v>100</v>
      </c>
      <c r="F210" s="4">
        <v>2246</v>
      </c>
      <c r="G210" s="5">
        <v>100.00000000000001</v>
      </c>
      <c r="H210" s="4">
        <v>1</v>
      </c>
    </row>
    <row r="211" spans="1:8" x14ac:dyDescent="0.2">
      <c r="A211" s="2" t="s">
        <v>74</v>
      </c>
      <c r="B211" s="4">
        <v>1</v>
      </c>
      <c r="C211" s="5">
        <v>0.02</v>
      </c>
      <c r="D211" s="4">
        <v>0</v>
      </c>
      <c r="E211" s="5">
        <v>0</v>
      </c>
      <c r="F211" s="4">
        <v>1</v>
      </c>
      <c r="G211" s="5">
        <v>0.04</v>
      </c>
      <c r="H211" s="4">
        <v>0</v>
      </c>
    </row>
    <row r="212" spans="1:8" x14ac:dyDescent="0.2">
      <c r="A212" s="2" t="s">
        <v>75</v>
      </c>
      <c r="B212" s="4">
        <v>693</v>
      </c>
      <c r="C212" s="5">
        <v>15.27</v>
      </c>
      <c r="D212" s="4">
        <v>253</v>
      </c>
      <c r="E212" s="5">
        <v>11.26</v>
      </c>
      <c r="F212" s="4">
        <v>440</v>
      </c>
      <c r="G212" s="5">
        <v>19.59</v>
      </c>
      <c r="H212" s="4">
        <v>0</v>
      </c>
    </row>
    <row r="213" spans="1:8" x14ac:dyDescent="0.2">
      <c r="A213" s="2" t="s">
        <v>76</v>
      </c>
      <c r="B213" s="4">
        <v>301</v>
      </c>
      <c r="C213" s="5">
        <v>6.63</v>
      </c>
      <c r="D213" s="4">
        <v>68</v>
      </c>
      <c r="E213" s="5">
        <v>3.03</v>
      </c>
      <c r="F213" s="4">
        <v>232</v>
      </c>
      <c r="G213" s="5">
        <v>10.33</v>
      </c>
      <c r="H213" s="4">
        <v>0</v>
      </c>
    </row>
    <row r="214" spans="1:8" x14ac:dyDescent="0.2">
      <c r="A214" s="2" t="s">
        <v>77</v>
      </c>
      <c r="B214" s="4">
        <v>6</v>
      </c>
      <c r="C214" s="5">
        <v>0.13</v>
      </c>
      <c r="D214" s="4">
        <v>0</v>
      </c>
      <c r="E214" s="5">
        <v>0</v>
      </c>
      <c r="F214" s="4">
        <v>6</v>
      </c>
      <c r="G214" s="5">
        <v>0.27</v>
      </c>
      <c r="H214" s="4">
        <v>0</v>
      </c>
    </row>
    <row r="215" spans="1:8" x14ac:dyDescent="0.2">
      <c r="A215" s="2" t="s">
        <v>78</v>
      </c>
      <c r="B215" s="4">
        <v>32</v>
      </c>
      <c r="C215" s="5">
        <v>0.71</v>
      </c>
      <c r="D215" s="4">
        <v>1</v>
      </c>
      <c r="E215" s="5">
        <v>0.04</v>
      </c>
      <c r="F215" s="4">
        <v>31</v>
      </c>
      <c r="G215" s="5">
        <v>1.38</v>
      </c>
      <c r="H215" s="4">
        <v>0</v>
      </c>
    </row>
    <row r="216" spans="1:8" x14ac:dyDescent="0.2">
      <c r="A216" s="2" t="s">
        <v>79</v>
      </c>
      <c r="B216" s="4">
        <v>42</v>
      </c>
      <c r="C216" s="5">
        <v>0.93</v>
      </c>
      <c r="D216" s="4">
        <v>6</v>
      </c>
      <c r="E216" s="5">
        <v>0.27</v>
      </c>
      <c r="F216" s="4">
        <v>36</v>
      </c>
      <c r="G216" s="5">
        <v>1.6</v>
      </c>
      <c r="H216" s="4">
        <v>0</v>
      </c>
    </row>
    <row r="217" spans="1:8" x14ac:dyDescent="0.2">
      <c r="A217" s="2" t="s">
        <v>80</v>
      </c>
      <c r="B217" s="4">
        <v>1075</v>
      </c>
      <c r="C217" s="5">
        <v>23.69</v>
      </c>
      <c r="D217" s="4">
        <v>431</v>
      </c>
      <c r="E217" s="5">
        <v>19.190000000000001</v>
      </c>
      <c r="F217" s="4">
        <v>643</v>
      </c>
      <c r="G217" s="5">
        <v>28.63</v>
      </c>
      <c r="H217" s="4">
        <v>1</v>
      </c>
    </row>
    <row r="218" spans="1:8" x14ac:dyDescent="0.2">
      <c r="A218" s="2" t="s">
        <v>81</v>
      </c>
      <c r="B218" s="4">
        <v>37</v>
      </c>
      <c r="C218" s="5">
        <v>0.82</v>
      </c>
      <c r="D218" s="4">
        <v>10</v>
      </c>
      <c r="E218" s="5">
        <v>0.45</v>
      </c>
      <c r="F218" s="4">
        <v>27</v>
      </c>
      <c r="G218" s="5">
        <v>1.2</v>
      </c>
      <c r="H218" s="4">
        <v>0</v>
      </c>
    </row>
    <row r="219" spans="1:8" x14ac:dyDescent="0.2">
      <c r="A219" s="2" t="s">
        <v>82</v>
      </c>
      <c r="B219" s="4">
        <v>361</v>
      </c>
      <c r="C219" s="5">
        <v>7.96</v>
      </c>
      <c r="D219" s="4">
        <v>96</v>
      </c>
      <c r="E219" s="5">
        <v>4.2699999999999996</v>
      </c>
      <c r="F219" s="4">
        <v>265</v>
      </c>
      <c r="G219" s="5">
        <v>11.8</v>
      </c>
      <c r="H219" s="4">
        <v>0</v>
      </c>
    </row>
    <row r="220" spans="1:8" x14ac:dyDescent="0.2">
      <c r="A220" s="2" t="s">
        <v>83</v>
      </c>
      <c r="B220" s="4">
        <v>265</v>
      </c>
      <c r="C220" s="5">
        <v>5.84</v>
      </c>
      <c r="D220" s="4">
        <v>142</v>
      </c>
      <c r="E220" s="5">
        <v>6.32</v>
      </c>
      <c r="F220" s="4">
        <v>120</v>
      </c>
      <c r="G220" s="5">
        <v>5.34</v>
      </c>
      <c r="H220" s="4">
        <v>0</v>
      </c>
    </row>
    <row r="221" spans="1:8" x14ac:dyDescent="0.2">
      <c r="A221" s="2" t="s">
        <v>84</v>
      </c>
      <c r="B221" s="4">
        <v>527</v>
      </c>
      <c r="C221" s="5">
        <v>11.62</v>
      </c>
      <c r="D221" s="4">
        <v>404</v>
      </c>
      <c r="E221" s="5">
        <v>17.989999999999998</v>
      </c>
      <c r="F221" s="4">
        <v>122</v>
      </c>
      <c r="G221" s="5">
        <v>5.43</v>
      </c>
      <c r="H221" s="4">
        <v>0</v>
      </c>
    </row>
    <row r="222" spans="1:8" x14ac:dyDescent="0.2">
      <c r="A222" s="2" t="s">
        <v>85</v>
      </c>
      <c r="B222" s="4">
        <v>550</v>
      </c>
      <c r="C222" s="5">
        <v>12.12</v>
      </c>
      <c r="D222" s="4">
        <v>448</v>
      </c>
      <c r="E222" s="5">
        <v>19.95</v>
      </c>
      <c r="F222" s="4">
        <v>101</v>
      </c>
      <c r="G222" s="5">
        <v>4.5</v>
      </c>
      <c r="H222" s="4">
        <v>0</v>
      </c>
    </row>
    <row r="223" spans="1:8" x14ac:dyDescent="0.2">
      <c r="A223" s="2" t="s">
        <v>86</v>
      </c>
      <c r="B223" s="4">
        <v>210</v>
      </c>
      <c r="C223" s="5">
        <v>4.63</v>
      </c>
      <c r="D223" s="4">
        <v>146</v>
      </c>
      <c r="E223" s="5">
        <v>6.5</v>
      </c>
      <c r="F223" s="4">
        <v>37</v>
      </c>
      <c r="G223" s="5">
        <v>1.65</v>
      </c>
      <c r="H223" s="4">
        <v>0</v>
      </c>
    </row>
    <row r="224" spans="1:8" x14ac:dyDescent="0.2">
      <c r="A224" s="2" t="s">
        <v>87</v>
      </c>
      <c r="B224" s="4">
        <v>228</v>
      </c>
      <c r="C224" s="5">
        <v>5.03</v>
      </c>
      <c r="D224" s="4">
        <v>149</v>
      </c>
      <c r="E224" s="5">
        <v>6.63</v>
      </c>
      <c r="F224" s="4">
        <v>73</v>
      </c>
      <c r="G224" s="5">
        <v>3.25</v>
      </c>
      <c r="H224" s="4">
        <v>0</v>
      </c>
    </row>
    <row r="225" spans="1:8" x14ac:dyDescent="0.2">
      <c r="A225" s="2" t="s">
        <v>88</v>
      </c>
      <c r="B225" s="4">
        <v>209</v>
      </c>
      <c r="C225" s="5">
        <v>4.6100000000000003</v>
      </c>
      <c r="D225" s="4">
        <v>92</v>
      </c>
      <c r="E225" s="5">
        <v>4.0999999999999996</v>
      </c>
      <c r="F225" s="4">
        <v>112</v>
      </c>
      <c r="G225" s="5">
        <v>4.99</v>
      </c>
      <c r="H225" s="4">
        <v>0</v>
      </c>
    </row>
    <row r="226" spans="1:8" x14ac:dyDescent="0.2">
      <c r="A226" s="1" t="s">
        <v>14</v>
      </c>
      <c r="B226" s="4">
        <v>11862</v>
      </c>
      <c r="C226" s="5">
        <v>100</v>
      </c>
      <c r="D226" s="4">
        <v>4256</v>
      </c>
      <c r="E226" s="5">
        <v>99.999999999999986</v>
      </c>
      <c r="F226" s="4">
        <v>7564</v>
      </c>
      <c r="G226" s="5">
        <v>100.00000000000001</v>
      </c>
      <c r="H226" s="4">
        <v>4</v>
      </c>
    </row>
    <row r="227" spans="1:8" x14ac:dyDescent="0.2">
      <c r="A227" s="2" t="s">
        <v>74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75</v>
      </c>
      <c r="B228" s="4">
        <v>1900</v>
      </c>
      <c r="C228" s="5">
        <v>16.02</v>
      </c>
      <c r="D228" s="4">
        <v>222</v>
      </c>
      <c r="E228" s="5">
        <v>5.22</v>
      </c>
      <c r="F228" s="4">
        <v>1678</v>
      </c>
      <c r="G228" s="5">
        <v>22.18</v>
      </c>
      <c r="H228" s="4">
        <v>0</v>
      </c>
    </row>
    <row r="229" spans="1:8" x14ac:dyDescent="0.2">
      <c r="A229" s="2" t="s">
        <v>76</v>
      </c>
      <c r="B229" s="4">
        <v>2522</v>
      </c>
      <c r="C229" s="5">
        <v>21.26</v>
      </c>
      <c r="D229" s="4">
        <v>583</v>
      </c>
      <c r="E229" s="5">
        <v>13.7</v>
      </c>
      <c r="F229" s="4">
        <v>1938</v>
      </c>
      <c r="G229" s="5">
        <v>25.62</v>
      </c>
      <c r="H229" s="4">
        <v>1</v>
      </c>
    </row>
    <row r="230" spans="1:8" x14ac:dyDescent="0.2">
      <c r="A230" s="2" t="s">
        <v>77</v>
      </c>
      <c r="B230" s="4">
        <v>3</v>
      </c>
      <c r="C230" s="5">
        <v>0.03</v>
      </c>
      <c r="D230" s="4">
        <v>0</v>
      </c>
      <c r="E230" s="5">
        <v>0</v>
      </c>
      <c r="F230" s="4">
        <v>3</v>
      </c>
      <c r="G230" s="5">
        <v>0.04</v>
      </c>
      <c r="H230" s="4">
        <v>0</v>
      </c>
    </row>
    <row r="231" spans="1:8" x14ac:dyDescent="0.2">
      <c r="A231" s="2" t="s">
        <v>78</v>
      </c>
      <c r="B231" s="4">
        <v>103</v>
      </c>
      <c r="C231" s="5">
        <v>0.87</v>
      </c>
      <c r="D231" s="4">
        <v>4</v>
      </c>
      <c r="E231" s="5">
        <v>0.09</v>
      </c>
      <c r="F231" s="4">
        <v>99</v>
      </c>
      <c r="G231" s="5">
        <v>1.31</v>
      </c>
      <c r="H231" s="4">
        <v>0</v>
      </c>
    </row>
    <row r="232" spans="1:8" x14ac:dyDescent="0.2">
      <c r="A232" s="2" t="s">
        <v>79</v>
      </c>
      <c r="B232" s="4">
        <v>145</v>
      </c>
      <c r="C232" s="5">
        <v>1.22</v>
      </c>
      <c r="D232" s="4">
        <v>14</v>
      </c>
      <c r="E232" s="5">
        <v>0.33</v>
      </c>
      <c r="F232" s="4">
        <v>131</v>
      </c>
      <c r="G232" s="5">
        <v>1.73</v>
      </c>
      <c r="H232" s="4">
        <v>0</v>
      </c>
    </row>
    <row r="233" spans="1:8" x14ac:dyDescent="0.2">
      <c r="A233" s="2" t="s">
        <v>80</v>
      </c>
      <c r="B233" s="4">
        <v>2017</v>
      </c>
      <c r="C233" s="5">
        <v>17</v>
      </c>
      <c r="D233" s="4">
        <v>730</v>
      </c>
      <c r="E233" s="5">
        <v>17.149999999999999</v>
      </c>
      <c r="F233" s="4">
        <v>1287</v>
      </c>
      <c r="G233" s="5">
        <v>17.010000000000002</v>
      </c>
      <c r="H233" s="4">
        <v>0</v>
      </c>
    </row>
    <row r="234" spans="1:8" x14ac:dyDescent="0.2">
      <c r="A234" s="2" t="s">
        <v>81</v>
      </c>
      <c r="B234" s="4">
        <v>58</v>
      </c>
      <c r="C234" s="5">
        <v>0.49</v>
      </c>
      <c r="D234" s="4">
        <v>5</v>
      </c>
      <c r="E234" s="5">
        <v>0.12</v>
      </c>
      <c r="F234" s="4">
        <v>53</v>
      </c>
      <c r="G234" s="5">
        <v>0.7</v>
      </c>
      <c r="H234" s="4">
        <v>0</v>
      </c>
    </row>
    <row r="235" spans="1:8" x14ac:dyDescent="0.2">
      <c r="A235" s="2" t="s">
        <v>82</v>
      </c>
      <c r="B235" s="4">
        <v>1387</v>
      </c>
      <c r="C235" s="5">
        <v>11.69</v>
      </c>
      <c r="D235" s="4">
        <v>310</v>
      </c>
      <c r="E235" s="5">
        <v>7.28</v>
      </c>
      <c r="F235" s="4">
        <v>1076</v>
      </c>
      <c r="G235" s="5">
        <v>14.23</v>
      </c>
      <c r="H235" s="4">
        <v>1</v>
      </c>
    </row>
    <row r="236" spans="1:8" x14ac:dyDescent="0.2">
      <c r="A236" s="2" t="s">
        <v>83</v>
      </c>
      <c r="B236" s="4">
        <v>469</v>
      </c>
      <c r="C236" s="5">
        <v>3.95</v>
      </c>
      <c r="D236" s="4">
        <v>187</v>
      </c>
      <c r="E236" s="5">
        <v>4.3899999999999997</v>
      </c>
      <c r="F236" s="4">
        <v>282</v>
      </c>
      <c r="G236" s="5">
        <v>3.73</v>
      </c>
      <c r="H236" s="4">
        <v>0</v>
      </c>
    </row>
    <row r="237" spans="1:8" x14ac:dyDescent="0.2">
      <c r="A237" s="2" t="s">
        <v>84</v>
      </c>
      <c r="B237" s="4">
        <v>920</v>
      </c>
      <c r="C237" s="5">
        <v>7.76</v>
      </c>
      <c r="D237" s="4">
        <v>730</v>
      </c>
      <c r="E237" s="5">
        <v>17.149999999999999</v>
      </c>
      <c r="F237" s="4">
        <v>190</v>
      </c>
      <c r="G237" s="5">
        <v>2.5099999999999998</v>
      </c>
      <c r="H237" s="4">
        <v>0</v>
      </c>
    </row>
    <row r="238" spans="1:8" x14ac:dyDescent="0.2">
      <c r="A238" s="2" t="s">
        <v>85</v>
      </c>
      <c r="B238" s="4">
        <v>1141</v>
      </c>
      <c r="C238" s="5">
        <v>9.6199999999999992</v>
      </c>
      <c r="D238" s="4">
        <v>831</v>
      </c>
      <c r="E238" s="5">
        <v>19.53</v>
      </c>
      <c r="F238" s="4">
        <v>310</v>
      </c>
      <c r="G238" s="5">
        <v>4.0999999999999996</v>
      </c>
      <c r="H238" s="4">
        <v>0</v>
      </c>
    </row>
    <row r="239" spans="1:8" x14ac:dyDescent="0.2">
      <c r="A239" s="2" t="s">
        <v>86</v>
      </c>
      <c r="B239" s="4">
        <v>355</v>
      </c>
      <c r="C239" s="5">
        <v>2.99</v>
      </c>
      <c r="D239" s="4">
        <v>221</v>
      </c>
      <c r="E239" s="5">
        <v>5.19</v>
      </c>
      <c r="F239" s="4">
        <v>98</v>
      </c>
      <c r="G239" s="5">
        <v>1.3</v>
      </c>
      <c r="H239" s="4">
        <v>1</v>
      </c>
    </row>
    <row r="240" spans="1:8" x14ac:dyDescent="0.2">
      <c r="A240" s="2" t="s">
        <v>87</v>
      </c>
      <c r="B240" s="4">
        <v>499</v>
      </c>
      <c r="C240" s="5">
        <v>4.21</v>
      </c>
      <c r="D240" s="4">
        <v>334</v>
      </c>
      <c r="E240" s="5">
        <v>7.85</v>
      </c>
      <c r="F240" s="4">
        <v>165</v>
      </c>
      <c r="G240" s="5">
        <v>2.1800000000000002</v>
      </c>
      <c r="H240" s="4">
        <v>0</v>
      </c>
    </row>
    <row r="241" spans="1:8" x14ac:dyDescent="0.2">
      <c r="A241" s="2" t="s">
        <v>88</v>
      </c>
      <c r="B241" s="4">
        <v>343</v>
      </c>
      <c r="C241" s="5">
        <v>2.89</v>
      </c>
      <c r="D241" s="4">
        <v>85</v>
      </c>
      <c r="E241" s="5">
        <v>2</v>
      </c>
      <c r="F241" s="4">
        <v>254</v>
      </c>
      <c r="G241" s="5">
        <v>3.36</v>
      </c>
      <c r="H241" s="4">
        <v>1</v>
      </c>
    </row>
    <row r="242" spans="1:8" x14ac:dyDescent="0.2">
      <c r="A242" s="1" t="s">
        <v>15</v>
      </c>
      <c r="B242" s="4">
        <v>1802</v>
      </c>
      <c r="C242" s="5">
        <v>100</v>
      </c>
      <c r="D242" s="4">
        <v>985</v>
      </c>
      <c r="E242" s="5">
        <v>99.990000000000009</v>
      </c>
      <c r="F242" s="4">
        <v>795</v>
      </c>
      <c r="G242" s="5">
        <v>100.01</v>
      </c>
      <c r="H242" s="4">
        <v>1</v>
      </c>
    </row>
    <row r="243" spans="1:8" x14ac:dyDescent="0.2">
      <c r="A243" s="2" t="s">
        <v>74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75</v>
      </c>
      <c r="B244" s="4">
        <v>262</v>
      </c>
      <c r="C244" s="5">
        <v>14.54</v>
      </c>
      <c r="D244" s="4">
        <v>120</v>
      </c>
      <c r="E244" s="5">
        <v>12.18</v>
      </c>
      <c r="F244" s="4">
        <v>142</v>
      </c>
      <c r="G244" s="5">
        <v>17.86</v>
      </c>
      <c r="H244" s="4">
        <v>0</v>
      </c>
    </row>
    <row r="245" spans="1:8" x14ac:dyDescent="0.2">
      <c r="A245" s="2" t="s">
        <v>76</v>
      </c>
      <c r="B245" s="4">
        <v>240</v>
      </c>
      <c r="C245" s="5">
        <v>13.32</v>
      </c>
      <c r="D245" s="4">
        <v>110</v>
      </c>
      <c r="E245" s="5">
        <v>11.17</v>
      </c>
      <c r="F245" s="4">
        <v>130</v>
      </c>
      <c r="G245" s="5">
        <v>16.350000000000001</v>
      </c>
      <c r="H245" s="4">
        <v>0</v>
      </c>
    </row>
    <row r="246" spans="1:8" x14ac:dyDescent="0.2">
      <c r="A246" s="2" t="s">
        <v>77</v>
      </c>
      <c r="B246" s="4">
        <v>1</v>
      </c>
      <c r="C246" s="5">
        <v>0.06</v>
      </c>
      <c r="D246" s="4">
        <v>0</v>
      </c>
      <c r="E246" s="5">
        <v>0</v>
      </c>
      <c r="F246" s="4">
        <v>1</v>
      </c>
      <c r="G246" s="5">
        <v>0.13</v>
      </c>
      <c r="H246" s="4">
        <v>0</v>
      </c>
    </row>
    <row r="247" spans="1:8" x14ac:dyDescent="0.2">
      <c r="A247" s="2" t="s">
        <v>78</v>
      </c>
      <c r="B247" s="4">
        <v>15</v>
      </c>
      <c r="C247" s="5">
        <v>0.83</v>
      </c>
      <c r="D247" s="4">
        <v>1</v>
      </c>
      <c r="E247" s="5">
        <v>0.1</v>
      </c>
      <c r="F247" s="4">
        <v>14</v>
      </c>
      <c r="G247" s="5">
        <v>1.76</v>
      </c>
      <c r="H247" s="4">
        <v>0</v>
      </c>
    </row>
    <row r="248" spans="1:8" x14ac:dyDescent="0.2">
      <c r="A248" s="2" t="s">
        <v>79</v>
      </c>
      <c r="B248" s="4">
        <v>20</v>
      </c>
      <c r="C248" s="5">
        <v>1.1100000000000001</v>
      </c>
      <c r="D248" s="4">
        <v>1</v>
      </c>
      <c r="E248" s="5">
        <v>0.1</v>
      </c>
      <c r="F248" s="4">
        <v>19</v>
      </c>
      <c r="G248" s="5">
        <v>2.39</v>
      </c>
      <c r="H248" s="4">
        <v>0</v>
      </c>
    </row>
    <row r="249" spans="1:8" x14ac:dyDescent="0.2">
      <c r="A249" s="2" t="s">
        <v>80</v>
      </c>
      <c r="B249" s="4">
        <v>424</v>
      </c>
      <c r="C249" s="5">
        <v>23.53</v>
      </c>
      <c r="D249" s="4">
        <v>195</v>
      </c>
      <c r="E249" s="5">
        <v>19.8</v>
      </c>
      <c r="F249" s="4">
        <v>229</v>
      </c>
      <c r="G249" s="5">
        <v>28.81</v>
      </c>
      <c r="H249" s="4">
        <v>0</v>
      </c>
    </row>
    <row r="250" spans="1:8" x14ac:dyDescent="0.2">
      <c r="A250" s="2" t="s">
        <v>81</v>
      </c>
      <c r="B250" s="4">
        <v>4</v>
      </c>
      <c r="C250" s="5">
        <v>0.22</v>
      </c>
      <c r="D250" s="4">
        <v>0</v>
      </c>
      <c r="E250" s="5">
        <v>0</v>
      </c>
      <c r="F250" s="4">
        <v>3</v>
      </c>
      <c r="G250" s="5">
        <v>0.38</v>
      </c>
      <c r="H250" s="4">
        <v>0</v>
      </c>
    </row>
    <row r="251" spans="1:8" x14ac:dyDescent="0.2">
      <c r="A251" s="2" t="s">
        <v>82</v>
      </c>
      <c r="B251" s="4">
        <v>115</v>
      </c>
      <c r="C251" s="5">
        <v>6.38</v>
      </c>
      <c r="D251" s="4">
        <v>29</v>
      </c>
      <c r="E251" s="5">
        <v>2.94</v>
      </c>
      <c r="F251" s="4">
        <v>86</v>
      </c>
      <c r="G251" s="5">
        <v>10.82</v>
      </c>
      <c r="H251" s="4">
        <v>0</v>
      </c>
    </row>
    <row r="252" spans="1:8" x14ac:dyDescent="0.2">
      <c r="A252" s="2" t="s">
        <v>83</v>
      </c>
      <c r="B252" s="4">
        <v>72</v>
      </c>
      <c r="C252" s="5">
        <v>4</v>
      </c>
      <c r="D252" s="4">
        <v>41</v>
      </c>
      <c r="E252" s="5">
        <v>4.16</v>
      </c>
      <c r="F252" s="4">
        <v>31</v>
      </c>
      <c r="G252" s="5">
        <v>3.9</v>
      </c>
      <c r="H252" s="4">
        <v>0</v>
      </c>
    </row>
    <row r="253" spans="1:8" x14ac:dyDescent="0.2">
      <c r="A253" s="2" t="s">
        <v>84</v>
      </c>
      <c r="B253" s="4">
        <v>181</v>
      </c>
      <c r="C253" s="5">
        <v>10.039999999999999</v>
      </c>
      <c r="D253" s="4">
        <v>151</v>
      </c>
      <c r="E253" s="5">
        <v>15.33</v>
      </c>
      <c r="F253" s="4">
        <v>29</v>
      </c>
      <c r="G253" s="5">
        <v>3.65</v>
      </c>
      <c r="H253" s="4">
        <v>0</v>
      </c>
    </row>
    <row r="254" spans="1:8" x14ac:dyDescent="0.2">
      <c r="A254" s="2" t="s">
        <v>85</v>
      </c>
      <c r="B254" s="4">
        <v>232</v>
      </c>
      <c r="C254" s="5">
        <v>12.87</v>
      </c>
      <c r="D254" s="4">
        <v>193</v>
      </c>
      <c r="E254" s="5">
        <v>19.59</v>
      </c>
      <c r="F254" s="4">
        <v>39</v>
      </c>
      <c r="G254" s="5">
        <v>4.91</v>
      </c>
      <c r="H254" s="4">
        <v>0</v>
      </c>
    </row>
    <row r="255" spans="1:8" x14ac:dyDescent="0.2">
      <c r="A255" s="2" t="s">
        <v>86</v>
      </c>
      <c r="B255" s="4">
        <v>69</v>
      </c>
      <c r="C255" s="5">
        <v>3.83</v>
      </c>
      <c r="D255" s="4">
        <v>48</v>
      </c>
      <c r="E255" s="5">
        <v>4.87</v>
      </c>
      <c r="F255" s="4">
        <v>9</v>
      </c>
      <c r="G255" s="5">
        <v>1.1299999999999999</v>
      </c>
      <c r="H255" s="4">
        <v>0</v>
      </c>
    </row>
    <row r="256" spans="1:8" x14ac:dyDescent="0.2">
      <c r="A256" s="2" t="s">
        <v>87</v>
      </c>
      <c r="B256" s="4">
        <v>87</v>
      </c>
      <c r="C256" s="5">
        <v>4.83</v>
      </c>
      <c r="D256" s="4">
        <v>52</v>
      </c>
      <c r="E256" s="5">
        <v>5.28</v>
      </c>
      <c r="F256" s="4">
        <v>33</v>
      </c>
      <c r="G256" s="5">
        <v>4.1500000000000004</v>
      </c>
      <c r="H256" s="4">
        <v>0</v>
      </c>
    </row>
    <row r="257" spans="1:8" x14ac:dyDescent="0.2">
      <c r="A257" s="2" t="s">
        <v>88</v>
      </c>
      <c r="B257" s="4">
        <v>80</v>
      </c>
      <c r="C257" s="5">
        <v>4.4400000000000004</v>
      </c>
      <c r="D257" s="4">
        <v>44</v>
      </c>
      <c r="E257" s="5">
        <v>4.47</v>
      </c>
      <c r="F257" s="4">
        <v>30</v>
      </c>
      <c r="G257" s="5">
        <v>3.77</v>
      </c>
      <c r="H257" s="4">
        <v>1</v>
      </c>
    </row>
    <row r="258" spans="1:8" x14ac:dyDescent="0.2">
      <c r="A258" s="1" t="s">
        <v>16</v>
      </c>
      <c r="B258" s="4">
        <v>1997</v>
      </c>
      <c r="C258" s="5">
        <v>100</v>
      </c>
      <c r="D258" s="4">
        <v>1200</v>
      </c>
      <c r="E258" s="5">
        <v>100</v>
      </c>
      <c r="F258" s="4">
        <v>768</v>
      </c>
      <c r="G258" s="5">
        <v>100.00000000000001</v>
      </c>
      <c r="H258" s="4">
        <v>4</v>
      </c>
    </row>
    <row r="259" spans="1:8" x14ac:dyDescent="0.2">
      <c r="A259" s="2" t="s">
        <v>74</v>
      </c>
      <c r="B259" s="4">
        <v>3</v>
      </c>
      <c r="C259" s="5">
        <v>0.15</v>
      </c>
      <c r="D259" s="4">
        <v>0</v>
      </c>
      <c r="E259" s="5">
        <v>0</v>
      </c>
      <c r="F259" s="4">
        <v>3</v>
      </c>
      <c r="G259" s="5">
        <v>0.39</v>
      </c>
      <c r="H259" s="4">
        <v>0</v>
      </c>
    </row>
    <row r="260" spans="1:8" x14ac:dyDescent="0.2">
      <c r="A260" s="2" t="s">
        <v>75</v>
      </c>
      <c r="B260" s="4">
        <v>296</v>
      </c>
      <c r="C260" s="5">
        <v>14.82</v>
      </c>
      <c r="D260" s="4">
        <v>152</v>
      </c>
      <c r="E260" s="5">
        <v>12.67</v>
      </c>
      <c r="F260" s="4">
        <v>144</v>
      </c>
      <c r="G260" s="5">
        <v>18.75</v>
      </c>
      <c r="H260" s="4">
        <v>0</v>
      </c>
    </row>
    <row r="261" spans="1:8" x14ac:dyDescent="0.2">
      <c r="A261" s="2" t="s">
        <v>76</v>
      </c>
      <c r="B261" s="4">
        <v>174</v>
      </c>
      <c r="C261" s="5">
        <v>8.7100000000000009</v>
      </c>
      <c r="D261" s="4">
        <v>77</v>
      </c>
      <c r="E261" s="5">
        <v>6.42</v>
      </c>
      <c r="F261" s="4">
        <v>97</v>
      </c>
      <c r="G261" s="5">
        <v>12.63</v>
      </c>
      <c r="H261" s="4">
        <v>0</v>
      </c>
    </row>
    <row r="262" spans="1:8" x14ac:dyDescent="0.2">
      <c r="A262" s="2" t="s">
        <v>77</v>
      </c>
      <c r="B262" s="4">
        <v>2</v>
      </c>
      <c r="C262" s="5">
        <v>0.1</v>
      </c>
      <c r="D262" s="4">
        <v>0</v>
      </c>
      <c r="E262" s="5">
        <v>0</v>
      </c>
      <c r="F262" s="4">
        <v>1</v>
      </c>
      <c r="G262" s="5">
        <v>0.13</v>
      </c>
      <c r="H262" s="4">
        <v>0</v>
      </c>
    </row>
    <row r="263" spans="1:8" x14ac:dyDescent="0.2">
      <c r="A263" s="2" t="s">
        <v>78</v>
      </c>
      <c r="B263" s="4">
        <v>17</v>
      </c>
      <c r="C263" s="5">
        <v>0.85</v>
      </c>
      <c r="D263" s="4">
        <v>3</v>
      </c>
      <c r="E263" s="5">
        <v>0.25</v>
      </c>
      <c r="F263" s="4">
        <v>14</v>
      </c>
      <c r="G263" s="5">
        <v>1.82</v>
      </c>
      <c r="H263" s="4">
        <v>0</v>
      </c>
    </row>
    <row r="264" spans="1:8" x14ac:dyDescent="0.2">
      <c r="A264" s="2" t="s">
        <v>79</v>
      </c>
      <c r="B264" s="4">
        <v>20</v>
      </c>
      <c r="C264" s="5">
        <v>1</v>
      </c>
      <c r="D264" s="4">
        <v>5</v>
      </c>
      <c r="E264" s="5">
        <v>0.42</v>
      </c>
      <c r="F264" s="4">
        <v>15</v>
      </c>
      <c r="G264" s="5">
        <v>1.95</v>
      </c>
      <c r="H264" s="4">
        <v>0</v>
      </c>
    </row>
    <row r="265" spans="1:8" x14ac:dyDescent="0.2">
      <c r="A265" s="2" t="s">
        <v>80</v>
      </c>
      <c r="B265" s="4">
        <v>423</v>
      </c>
      <c r="C265" s="5">
        <v>21.18</v>
      </c>
      <c r="D265" s="4">
        <v>231</v>
      </c>
      <c r="E265" s="5">
        <v>19.25</v>
      </c>
      <c r="F265" s="4">
        <v>192</v>
      </c>
      <c r="G265" s="5">
        <v>25</v>
      </c>
      <c r="H265" s="4">
        <v>0</v>
      </c>
    </row>
    <row r="266" spans="1:8" x14ac:dyDescent="0.2">
      <c r="A266" s="2" t="s">
        <v>81</v>
      </c>
      <c r="B266" s="4">
        <v>10</v>
      </c>
      <c r="C266" s="5">
        <v>0.5</v>
      </c>
      <c r="D266" s="4">
        <v>1</v>
      </c>
      <c r="E266" s="5">
        <v>0.08</v>
      </c>
      <c r="F266" s="4">
        <v>9</v>
      </c>
      <c r="G266" s="5">
        <v>1.17</v>
      </c>
      <c r="H266" s="4">
        <v>0</v>
      </c>
    </row>
    <row r="267" spans="1:8" x14ac:dyDescent="0.2">
      <c r="A267" s="2" t="s">
        <v>82</v>
      </c>
      <c r="B267" s="4">
        <v>154</v>
      </c>
      <c r="C267" s="5">
        <v>7.71</v>
      </c>
      <c r="D267" s="4">
        <v>67</v>
      </c>
      <c r="E267" s="5">
        <v>5.58</v>
      </c>
      <c r="F267" s="4">
        <v>86</v>
      </c>
      <c r="G267" s="5">
        <v>11.2</v>
      </c>
      <c r="H267" s="4">
        <v>1</v>
      </c>
    </row>
    <row r="268" spans="1:8" x14ac:dyDescent="0.2">
      <c r="A268" s="2" t="s">
        <v>83</v>
      </c>
      <c r="B268" s="4">
        <v>83</v>
      </c>
      <c r="C268" s="5">
        <v>4.16</v>
      </c>
      <c r="D268" s="4">
        <v>47</v>
      </c>
      <c r="E268" s="5">
        <v>3.92</v>
      </c>
      <c r="F268" s="4">
        <v>35</v>
      </c>
      <c r="G268" s="5">
        <v>4.5599999999999996</v>
      </c>
      <c r="H268" s="4">
        <v>1</v>
      </c>
    </row>
    <row r="269" spans="1:8" x14ac:dyDescent="0.2">
      <c r="A269" s="2" t="s">
        <v>84</v>
      </c>
      <c r="B269" s="4">
        <v>319</v>
      </c>
      <c r="C269" s="5">
        <v>15.97</v>
      </c>
      <c r="D269" s="4">
        <v>258</v>
      </c>
      <c r="E269" s="5">
        <v>21.5</v>
      </c>
      <c r="F269" s="4">
        <v>57</v>
      </c>
      <c r="G269" s="5">
        <v>7.42</v>
      </c>
      <c r="H269" s="4">
        <v>1</v>
      </c>
    </row>
    <row r="270" spans="1:8" x14ac:dyDescent="0.2">
      <c r="A270" s="2" t="s">
        <v>85</v>
      </c>
      <c r="B270" s="4">
        <v>256</v>
      </c>
      <c r="C270" s="5">
        <v>12.82</v>
      </c>
      <c r="D270" s="4">
        <v>219</v>
      </c>
      <c r="E270" s="5">
        <v>18.25</v>
      </c>
      <c r="F270" s="4">
        <v>35</v>
      </c>
      <c r="G270" s="5">
        <v>4.5599999999999996</v>
      </c>
      <c r="H270" s="4">
        <v>0</v>
      </c>
    </row>
    <row r="271" spans="1:8" x14ac:dyDescent="0.2">
      <c r="A271" s="2" t="s">
        <v>86</v>
      </c>
      <c r="B271" s="4">
        <v>68</v>
      </c>
      <c r="C271" s="5">
        <v>3.41</v>
      </c>
      <c r="D271" s="4">
        <v>43</v>
      </c>
      <c r="E271" s="5">
        <v>3.58</v>
      </c>
      <c r="F271" s="4">
        <v>12</v>
      </c>
      <c r="G271" s="5">
        <v>1.56</v>
      </c>
      <c r="H271" s="4">
        <v>1</v>
      </c>
    </row>
    <row r="272" spans="1:8" x14ac:dyDescent="0.2">
      <c r="A272" s="2" t="s">
        <v>87</v>
      </c>
      <c r="B272" s="4">
        <v>105</v>
      </c>
      <c r="C272" s="5">
        <v>5.26</v>
      </c>
      <c r="D272" s="4">
        <v>58</v>
      </c>
      <c r="E272" s="5">
        <v>4.83</v>
      </c>
      <c r="F272" s="4">
        <v>41</v>
      </c>
      <c r="G272" s="5">
        <v>5.34</v>
      </c>
      <c r="H272" s="4">
        <v>0</v>
      </c>
    </row>
    <row r="273" spans="1:8" x14ac:dyDescent="0.2">
      <c r="A273" s="2" t="s">
        <v>88</v>
      </c>
      <c r="B273" s="4">
        <v>67</v>
      </c>
      <c r="C273" s="5">
        <v>3.36</v>
      </c>
      <c r="D273" s="4">
        <v>39</v>
      </c>
      <c r="E273" s="5">
        <v>3.25</v>
      </c>
      <c r="F273" s="4">
        <v>27</v>
      </c>
      <c r="G273" s="5">
        <v>3.52</v>
      </c>
      <c r="H273" s="4">
        <v>0</v>
      </c>
    </row>
    <row r="274" spans="1:8" x14ac:dyDescent="0.2">
      <c r="A274" s="1" t="s">
        <v>17</v>
      </c>
      <c r="B274" s="4">
        <v>5298</v>
      </c>
      <c r="C274" s="5">
        <v>100.00000000000001</v>
      </c>
      <c r="D274" s="4">
        <v>1991</v>
      </c>
      <c r="E274" s="5">
        <v>100</v>
      </c>
      <c r="F274" s="4">
        <v>3295</v>
      </c>
      <c r="G274" s="5">
        <v>100.01</v>
      </c>
      <c r="H274" s="4">
        <v>6</v>
      </c>
    </row>
    <row r="275" spans="1:8" x14ac:dyDescent="0.2">
      <c r="A275" s="2" t="s">
        <v>74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75</v>
      </c>
      <c r="B276" s="4">
        <v>903</v>
      </c>
      <c r="C276" s="5">
        <v>17.04</v>
      </c>
      <c r="D276" s="4">
        <v>125</v>
      </c>
      <c r="E276" s="5">
        <v>6.28</v>
      </c>
      <c r="F276" s="4">
        <v>778</v>
      </c>
      <c r="G276" s="5">
        <v>23.61</v>
      </c>
      <c r="H276" s="4">
        <v>0</v>
      </c>
    </row>
    <row r="277" spans="1:8" x14ac:dyDescent="0.2">
      <c r="A277" s="2" t="s">
        <v>76</v>
      </c>
      <c r="B277" s="4">
        <v>425</v>
      </c>
      <c r="C277" s="5">
        <v>8.02</v>
      </c>
      <c r="D277" s="4">
        <v>91</v>
      </c>
      <c r="E277" s="5">
        <v>4.57</v>
      </c>
      <c r="F277" s="4">
        <v>334</v>
      </c>
      <c r="G277" s="5">
        <v>10.14</v>
      </c>
      <c r="H277" s="4">
        <v>0</v>
      </c>
    </row>
    <row r="278" spans="1:8" x14ac:dyDescent="0.2">
      <c r="A278" s="2" t="s">
        <v>77</v>
      </c>
      <c r="B278" s="4">
        <v>3</v>
      </c>
      <c r="C278" s="5">
        <v>0.06</v>
      </c>
      <c r="D278" s="4">
        <v>0</v>
      </c>
      <c r="E278" s="5">
        <v>0</v>
      </c>
      <c r="F278" s="4">
        <v>3</v>
      </c>
      <c r="G278" s="5">
        <v>0.09</v>
      </c>
      <c r="H278" s="4">
        <v>0</v>
      </c>
    </row>
    <row r="279" spans="1:8" x14ac:dyDescent="0.2">
      <c r="A279" s="2" t="s">
        <v>78</v>
      </c>
      <c r="B279" s="4">
        <v>98</v>
      </c>
      <c r="C279" s="5">
        <v>1.85</v>
      </c>
      <c r="D279" s="4">
        <v>3</v>
      </c>
      <c r="E279" s="5">
        <v>0.15</v>
      </c>
      <c r="F279" s="4">
        <v>95</v>
      </c>
      <c r="G279" s="5">
        <v>2.88</v>
      </c>
      <c r="H279" s="4">
        <v>0</v>
      </c>
    </row>
    <row r="280" spans="1:8" x14ac:dyDescent="0.2">
      <c r="A280" s="2" t="s">
        <v>79</v>
      </c>
      <c r="B280" s="4">
        <v>47</v>
      </c>
      <c r="C280" s="5">
        <v>0.89</v>
      </c>
      <c r="D280" s="4">
        <v>2</v>
      </c>
      <c r="E280" s="5">
        <v>0.1</v>
      </c>
      <c r="F280" s="4">
        <v>45</v>
      </c>
      <c r="G280" s="5">
        <v>1.37</v>
      </c>
      <c r="H280" s="4">
        <v>0</v>
      </c>
    </row>
    <row r="281" spans="1:8" x14ac:dyDescent="0.2">
      <c r="A281" s="2" t="s">
        <v>80</v>
      </c>
      <c r="B281" s="4">
        <v>1033</v>
      </c>
      <c r="C281" s="5">
        <v>19.5</v>
      </c>
      <c r="D281" s="4">
        <v>356</v>
      </c>
      <c r="E281" s="5">
        <v>17.88</v>
      </c>
      <c r="F281" s="4">
        <v>675</v>
      </c>
      <c r="G281" s="5">
        <v>20.49</v>
      </c>
      <c r="H281" s="4">
        <v>2</v>
      </c>
    </row>
    <row r="282" spans="1:8" x14ac:dyDescent="0.2">
      <c r="A282" s="2" t="s">
        <v>81</v>
      </c>
      <c r="B282" s="4">
        <v>32</v>
      </c>
      <c r="C282" s="5">
        <v>0.6</v>
      </c>
      <c r="D282" s="4">
        <v>4</v>
      </c>
      <c r="E282" s="5">
        <v>0.2</v>
      </c>
      <c r="F282" s="4">
        <v>28</v>
      </c>
      <c r="G282" s="5">
        <v>0.85</v>
      </c>
      <c r="H282" s="4">
        <v>0</v>
      </c>
    </row>
    <row r="283" spans="1:8" x14ac:dyDescent="0.2">
      <c r="A283" s="2" t="s">
        <v>82</v>
      </c>
      <c r="B283" s="4">
        <v>628</v>
      </c>
      <c r="C283" s="5">
        <v>11.85</v>
      </c>
      <c r="D283" s="4">
        <v>111</v>
      </c>
      <c r="E283" s="5">
        <v>5.58</v>
      </c>
      <c r="F283" s="4">
        <v>515</v>
      </c>
      <c r="G283" s="5">
        <v>15.63</v>
      </c>
      <c r="H283" s="4">
        <v>0</v>
      </c>
    </row>
    <row r="284" spans="1:8" x14ac:dyDescent="0.2">
      <c r="A284" s="2" t="s">
        <v>83</v>
      </c>
      <c r="B284" s="4">
        <v>355</v>
      </c>
      <c r="C284" s="5">
        <v>6.7</v>
      </c>
      <c r="D284" s="4">
        <v>139</v>
      </c>
      <c r="E284" s="5">
        <v>6.98</v>
      </c>
      <c r="F284" s="4">
        <v>215</v>
      </c>
      <c r="G284" s="5">
        <v>6.53</v>
      </c>
      <c r="H284" s="4">
        <v>0</v>
      </c>
    </row>
    <row r="285" spans="1:8" x14ac:dyDescent="0.2">
      <c r="A285" s="2" t="s">
        <v>84</v>
      </c>
      <c r="B285" s="4">
        <v>455</v>
      </c>
      <c r="C285" s="5">
        <v>8.59</v>
      </c>
      <c r="D285" s="4">
        <v>328</v>
      </c>
      <c r="E285" s="5">
        <v>16.47</v>
      </c>
      <c r="F285" s="4">
        <v>126</v>
      </c>
      <c r="G285" s="5">
        <v>3.82</v>
      </c>
      <c r="H285" s="4">
        <v>1</v>
      </c>
    </row>
    <row r="286" spans="1:8" x14ac:dyDescent="0.2">
      <c r="A286" s="2" t="s">
        <v>85</v>
      </c>
      <c r="B286" s="4">
        <v>640</v>
      </c>
      <c r="C286" s="5">
        <v>12.08</v>
      </c>
      <c r="D286" s="4">
        <v>442</v>
      </c>
      <c r="E286" s="5">
        <v>22.2</v>
      </c>
      <c r="F286" s="4">
        <v>198</v>
      </c>
      <c r="G286" s="5">
        <v>6.01</v>
      </c>
      <c r="H286" s="4">
        <v>0</v>
      </c>
    </row>
    <row r="287" spans="1:8" x14ac:dyDescent="0.2">
      <c r="A287" s="2" t="s">
        <v>86</v>
      </c>
      <c r="B287" s="4">
        <v>221</v>
      </c>
      <c r="C287" s="5">
        <v>4.17</v>
      </c>
      <c r="D287" s="4">
        <v>146</v>
      </c>
      <c r="E287" s="5">
        <v>7.33</v>
      </c>
      <c r="F287" s="4">
        <v>74</v>
      </c>
      <c r="G287" s="5">
        <v>2.25</v>
      </c>
      <c r="H287" s="4">
        <v>1</v>
      </c>
    </row>
    <row r="288" spans="1:8" x14ac:dyDescent="0.2">
      <c r="A288" s="2" t="s">
        <v>87</v>
      </c>
      <c r="B288" s="4">
        <v>295</v>
      </c>
      <c r="C288" s="5">
        <v>5.57</v>
      </c>
      <c r="D288" s="4">
        <v>204</v>
      </c>
      <c r="E288" s="5">
        <v>10.25</v>
      </c>
      <c r="F288" s="4">
        <v>91</v>
      </c>
      <c r="G288" s="5">
        <v>2.76</v>
      </c>
      <c r="H288" s="4">
        <v>0</v>
      </c>
    </row>
    <row r="289" spans="1:8" x14ac:dyDescent="0.2">
      <c r="A289" s="2" t="s">
        <v>88</v>
      </c>
      <c r="B289" s="4">
        <v>163</v>
      </c>
      <c r="C289" s="5">
        <v>3.08</v>
      </c>
      <c r="D289" s="4">
        <v>40</v>
      </c>
      <c r="E289" s="5">
        <v>2.0099999999999998</v>
      </c>
      <c r="F289" s="4">
        <v>118</v>
      </c>
      <c r="G289" s="5">
        <v>3.58</v>
      </c>
      <c r="H289" s="4">
        <v>2</v>
      </c>
    </row>
    <row r="290" spans="1:8" x14ac:dyDescent="0.2">
      <c r="A290" s="1" t="s">
        <v>18</v>
      </c>
      <c r="B290" s="4">
        <v>1747</v>
      </c>
      <c r="C290" s="5">
        <v>99.989999999999981</v>
      </c>
      <c r="D290" s="4">
        <v>970</v>
      </c>
      <c r="E290" s="5">
        <v>100</v>
      </c>
      <c r="F290" s="4">
        <v>757</v>
      </c>
      <c r="G290" s="5">
        <v>100.02</v>
      </c>
      <c r="H290" s="4">
        <v>3</v>
      </c>
    </row>
    <row r="291" spans="1:8" x14ac:dyDescent="0.2">
      <c r="A291" s="2" t="s">
        <v>74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2">
      <c r="A292" s="2" t="s">
        <v>75</v>
      </c>
      <c r="B292" s="4">
        <v>277</v>
      </c>
      <c r="C292" s="5">
        <v>15.86</v>
      </c>
      <c r="D292" s="4">
        <v>117</v>
      </c>
      <c r="E292" s="5">
        <v>12.06</v>
      </c>
      <c r="F292" s="4">
        <v>160</v>
      </c>
      <c r="G292" s="5">
        <v>21.14</v>
      </c>
      <c r="H292" s="4">
        <v>0</v>
      </c>
    </row>
    <row r="293" spans="1:8" x14ac:dyDescent="0.2">
      <c r="A293" s="2" t="s">
        <v>76</v>
      </c>
      <c r="B293" s="4">
        <v>187</v>
      </c>
      <c r="C293" s="5">
        <v>10.7</v>
      </c>
      <c r="D293" s="4">
        <v>75</v>
      </c>
      <c r="E293" s="5">
        <v>7.73</v>
      </c>
      <c r="F293" s="4">
        <v>112</v>
      </c>
      <c r="G293" s="5">
        <v>14.8</v>
      </c>
      <c r="H293" s="4">
        <v>0</v>
      </c>
    </row>
    <row r="294" spans="1:8" x14ac:dyDescent="0.2">
      <c r="A294" s="2" t="s">
        <v>77</v>
      </c>
      <c r="B294" s="4">
        <v>2</v>
      </c>
      <c r="C294" s="5">
        <v>0.11</v>
      </c>
      <c r="D294" s="4">
        <v>0</v>
      </c>
      <c r="E294" s="5">
        <v>0</v>
      </c>
      <c r="F294" s="4">
        <v>1</v>
      </c>
      <c r="G294" s="5">
        <v>0.13</v>
      </c>
      <c r="H294" s="4">
        <v>0</v>
      </c>
    </row>
    <row r="295" spans="1:8" x14ac:dyDescent="0.2">
      <c r="A295" s="2" t="s">
        <v>78</v>
      </c>
      <c r="B295" s="4">
        <v>15</v>
      </c>
      <c r="C295" s="5">
        <v>0.86</v>
      </c>
      <c r="D295" s="4">
        <v>0</v>
      </c>
      <c r="E295" s="5">
        <v>0</v>
      </c>
      <c r="F295" s="4">
        <v>15</v>
      </c>
      <c r="G295" s="5">
        <v>1.98</v>
      </c>
      <c r="H295" s="4">
        <v>0</v>
      </c>
    </row>
    <row r="296" spans="1:8" x14ac:dyDescent="0.2">
      <c r="A296" s="2" t="s">
        <v>79</v>
      </c>
      <c r="B296" s="4">
        <v>15</v>
      </c>
      <c r="C296" s="5">
        <v>0.86</v>
      </c>
      <c r="D296" s="4">
        <v>2</v>
      </c>
      <c r="E296" s="5">
        <v>0.21</v>
      </c>
      <c r="F296" s="4">
        <v>13</v>
      </c>
      <c r="G296" s="5">
        <v>1.72</v>
      </c>
      <c r="H296" s="4">
        <v>0</v>
      </c>
    </row>
    <row r="297" spans="1:8" x14ac:dyDescent="0.2">
      <c r="A297" s="2" t="s">
        <v>80</v>
      </c>
      <c r="B297" s="4">
        <v>354</v>
      </c>
      <c r="C297" s="5">
        <v>20.260000000000002</v>
      </c>
      <c r="D297" s="4">
        <v>199</v>
      </c>
      <c r="E297" s="5">
        <v>20.52</v>
      </c>
      <c r="F297" s="4">
        <v>155</v>
      </c>
      <c r="G297" s="5">
        <v>20.48</v>
      </c>
      <c r="H297" s="4">
        <v>0</v>
      </c>
    </row>
    <row r="298" spans="1:8" x14ac:dyDescent="0.2">
      <c r="A298" s="2" t="s">
        <v>81</v>
      </c>
      <c r="B298" s="4">
        <v>4</v>
      </c>
      <c r="C298" s="5">
        <v>0.23</v>
      </c>
      <c r="D298" s="4">
        <v>1</v>
      </c>
      <c r="E298" s="5">
        <v>0.1</v>
      </c>
      <c r="F298" s="4">
        <v>3</v>
      </c>
      <c r="G298" s="5">
        <v>0.4</v>
      </c>
      <c r="H298" s="4">
        <v>0</v>
      </c>
    </row>
    <row r="299" spans="1:8" x14ac:dyDescent="0.2">
      <c r="A299" s="2" t="s">
        <v>82</v>
      </c>
      <c r="B299" s="4">
        <v>144</v>
      </c>
      <c r="C299" s="5">
        <v>8.24</v>
      </c>
      <c r="D299" s="4">
        <v>63</v>
      </c>
      <c r="E299" s="5">
        <v>6.49</v>
      </c>
      <c r="F299" s="4">
        <v>81</v>
      </c>
      <c r="G299" s="5">
        <v>10.7</v>
      </c>
      <c r="H299" s="4">
        <v>0</v>
      </c>
    </row>
    <row r="300" spans="1:8" x14ac:dyDescent="0.2">
      <c r="A300" s="2" t="s">
        <v>83</v>
      </c>
      <c r="B300" s="4">
        <v>84</v>
      </c>
      <c r="C300" s="5">
        <v>4.8099999999999996</v>
      </c>
      <c r="D300" s="4">
        <v>41</v>
      </c>
      <c r="E300" s="5">
        <v>4.2300000000000004</v>
      </c>
      <c r="F300" s="4">
        <v>43</v>
      </c>
      <c r="G300" s="5">
        <v>5.68</v>
      </c>
      <c r="H300" s="4">
        <v>0</v>
      </c>
    </row>
    <row r="301" spans="1:8" x14ac:dyDescent="0.2">
      <c r="A301" s="2" t="s">
        <v>84</v>
      </c>
      <c r="B301" s="4">
        <v>216</v>
      </c>
      <c r="C301" s="5">
        <v>12.36</v>
      </c>
      <c r="D301" s="4">
        <v>175</v>
      </c>
      <c r="E301" s="5">
        <v>18.04</v>
      </c>
      <c r="F301" s="4">
        <v>41</v>
      </c>
      <c r="G301" s="5">
        <v>5.42</v>
      </c>
      <c r="H301" s="4">
        <v>0</v>
      </c>
    </row>
    <row r="302" spans="1:8" x14ac:dyDescent="0.2">
      <c r="A302" s="2" t="s">
        <v>85</v>
      </c>
      <c r="B302" s="4">
        <v>195</v>
      </c>
      <c r="C302" s="5">
        <v>11.16</v>
      </c>
      <c r="D302" s="4">
        <v>155</v>
      </c>
      <c r="E302" s="5">
        <v>15.98</v>
      </c>
      <c r="F302" s="4">
        <v>39</v>
      </c>
      <c r="G302" s="5">
        <v>5.15</v>
      </c>
      <c r="H302" s="4">
        <v>0</v>
      </c>
    </row>
    <row r="303" spans="1:8" x14ac:dyDescent="0.2">
      <c r="A303" s="2" t="s">
        <v>86</v>
      </c>
      <c r="B303" s="4">
        <v>82</v>
      </c>
      <c r="C303" s="5">
        <v>4.6900000000000004</v>
      </c>
      <c r="D303" s="4">
        <v>56</v>
      </c>
      <c r="E303" s="5">
        <v>5.77</v>
      </c>
      <c r="F303" s="4">
        <v>13</v>
      </c>
      <c r="G303" s="5">
        <v>1.72</v>
      </c>
      <c r="H303" s="4">
        <v>1</v>
      </c>
    </row>
    <row r="304" spans="1:8" x14ac:dyDescent="0.2">
      <c r="A304" s="2" t="s">
        <v>87</v>
      </c>
      <c r="B304" s="4">
        <v>109</v>
      </c>
      <c r="C304" s="5">
        <v>6.24</v>
      </c>
      <c r="D304" s="4">
        <v>55</v>
      </c>
      <c r="E304" s="5">
        <v>5.67</v>
      </c>
      <c r="F304" s="4">
        <v>51</v>
      </c>
      <c r="G304" s="5">
        <v>6.74</v>
      </c>
      <c r="H304" s="4">
        <v>1</v>
      </c>
    </row>
    <row r="305" spans="1:8" x14ac:dyDescent="0.2">
      <c r="A305" s="2" t="s">
        <v>88</v>
      </c>
      <c r="B305" s="4">
        <v>63</v>
      </c>
      <c r="C305" s="5">
        <v>3.61</v>
      </c>
      <c r="D305" s="4">
        <v>31</v>
      </c>
      <c r="E305" s="5">
        <v>3.2</v>
      </c>
      <c r="F305" s="4">
        <v>30</v>
      </c>
      <c r="G305" s="5">
        <v>3.96</v>
      </c>
      <c r="H305" s="4">
        <v>1</v>
      </c>
    </row>
    <row r="306" spans="1:8" x14ac:dyDescent="0.2">
      <c r="A306" s="1" t="s">
        <v>19</v>
      </c>
      <c r="B306" s="4">
        <v>2169</v>
      </c>
      <c r="C306" s="5">
        <v>100.01</v>
      </c>
      <c r="D306" s="4">
        <v>1151</v>
      </c>
      <c r="E306" s="5">
        <v>100.01</v>
      </c>
      <c r="F306" s="4">
        <v>994</v>
      </c>
      <c r="G306" s="5">
        <v>99.990000000000009</v>
      </c>
      <c r="H306" s="4">
        <v>0</v>
      </c>
    </row>
    <row r="307" spans="1:8" x14ac:dyDescent="0.2">
      <c r="A307" s="2" t="s">
        <v>74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2">
      <c r="A308" s="2" t="s">
        <v>75</v>
      </c>
      <c r="B308" s="4">
        <v>401</v>
      </c>
      <c r="C308" s="5">
        <v>18.489999999999998</v>
      </c>
      <c r="D308" s="4">
        <v>164</v>
      </c>
      <c r="E308" s="5">
        <v>14.25</v>
      </c>
      <c r="F308" s="4">
        <v>237</v>
      </c>
      <c r="G308" s="5">
        <v>23.84</v>
      </c>
      <c r="H308" s="4">
        <v>0</v>
      </c>
    </row>
    <row r="309" spans="1:8" x14ac:dyDescent="0.2">
      <c r="A309" s="2" t="s">
        <v>76</v>
      </c>
      <c r="B309" s="4">
        <v>256</v>
      </c>
      <c r="C309" s="5">
        <v>11.8</v>
      </c>
      <c r="D309" s="4">
        <v>71</v>
      </c>
      <c r="E309" s="5">
        <v>6.17</v>
      </c>
      <c r="F309" s="4">
        <v>185</v>
      </c>
      <c r="G309" s="5">
        <v>18.61</v>
      </c>
      <c r="H309" s="4">
        <v>0</v>
      </c>
    </row>
    <row r="310" spans="1:8" x14ac:dyDescent="0.2">
      <c r="A310" s="2" t="s">
        <v>77</v>
      </c>
      <c r="B310" s="4">
        <v>1</v>
      </c>
      <c r="C310" s="5">
        <v>0.05</v>
      </c>
      <c r="D310" s="4">
        <v>0</v>
      </c>
      <c r="E310" s="5">
        <v>0</v>
      </c>
      <c r="F310" s="4">
        <v>1</v>
      </c>
      <c r="G310" s="5">
        <v>0.1</v>
      </c>
      <c r="H310" s="4">
        <v>0</v>
      </c>
    </row>
    <row r="311" spans="1:8" x14ac:dyDescent="0.2">
      <c r="A311" s="2" t="s">
        <v>78</v>
      </c>
      <c r="B311" s="4">
        <v>6</v>
      </c>
      <c r="C311" s="5">
        <v>0.28000000000000003</v>
      </c>
      <c r="D311" s="4">
        <v>0</v>
      </c>
      <c r="E311" s="5">
        <v>0</v>
      </c>
      <c r="F311" s="4">
        <v>6</v>
      </c>
      <c r="G311" s="5">
        <v>0.6</v>
      </c>
      <c r="H311" s="4">
        <v>0</v>
      </c>
    </row>
    <row r="312" spans="1:8" x14ac:dyDescent="0.2">
      <c r="A312" s="2" t="s">
        <v>79</v>
      </c>
      <c r="B312" s="4">
        <v>37</v>
      </c>
      <c r="C312" s="5">
        <v>1.71</v>
      </c>
      <c r="D312" s="4">
        <v>1</v>
      </c>
      <c r="E312" s="5">
        <v>0.09</v>
      </c>
      <c r="F312" s="4">
        <v>36</v>
      </c>
      <c r="G312" s="5">
        <v>3.62</v>
      </c>
      <c r="H312" s="4">
        <v>0</v>
      </c>
    </row>
    <row r="313" spans="1:8" x14ac:dyDescent="0.2">
      <c r="A313" s="2" t="s">
        <v>80</v>
      </c>
      <c r="B313" s="4">
        <v>496</v>
      </c>
      <c r="C313" s="5">
        <v>22.87</v>
      </c>
      <c r="D313" s="4">
        <v>252</v>
      </c>
      <c r="E313" s="5">
        <v>21.89</v>
      </c>
      <c r="F313" s="4">
        <v>244</v>
      </c>
      <c r="G313" s="5">
        <v>24.55</v>
      </c>
      <c r="H313" s="4">
        <v>0</v>
      </c>
    </row>
    <row r="314" spans="1:8" x14ac:dyDescent="0.2">
      <c r="A314" s="2" t="s">
        <v>81</v>
      </c>
      <c r="B314" s="4">
        <v>11</v>
      </c>
      <c r="C314" s="5">
        <v>0.51</v>
      </c>
      <c r="D314" s="4">
        <v>3</v>
      </c>
      <c r="E314" s="5">
        <v>0.26</v>
      </c>
      <c r="F314" s="4">
        <v>8</v>
      </c>
      <c r="G314" s="5">
        <v>0.8</v>
      </c>
      <c r="H314" s="4">
        <v>0</v>
      </c>
    </row>
    <row r="315" spans="1:8" x14ac:dyDescent="0.2">
      <c r="A315" s="2" t="s">
        <v>82</v>
      </c>
      <c r="B315" s="4">
        <v>135</v>
      </c>
      <c r="C315" s="5">
        <v>6.22</v>
      </c>
      <c r="D315" s="4">
        <v>59</v>
      </c>
      <c r="E315" s="5">
        <v>5.13</v>
      </c>
      <c r="F315" s="4">
        <v>76</v>
      </c>
      <c r="G315" s="5">
        <v>7.65</v>
      </c>
      <c r="H315" s="4">
        <v>0</v>
      </c>
    </row>
    <row r="316" spans="1:8" x14ac:dyDescent="0.2">
      <c r="A316" s="2" t="s">
        <v>83</v>
      </c>
      <c r="B316" s="4">
        <v>80</v>
      </c>
      <c r="C316" s="5">
        <v>3.69</v>
      </c>
      <c r="D316" s="4">
        <v>41</v>
      </c>
      <c r="E316" s="5">
        <v>3.56</v>
      </c>
      <c r="F316" s="4">
        <v>37</v>
      </c>
      <c r="G316" s="5">
        <v>3.72</v>
      </c>
      <c r="H316" s="4">
        <v>0</v>
      </c>
    </row>
    <row r="317" spans="1:8" x14ac:dyDescent="0.2">
      <c r="A317" s="2" t="s">
        <v>84</v>
      </c>
      <c r="B317" s="4">
        <v>190</v>
      </c>
      <c r="C317" s="5">
        <v>8.76</v>
      </c>
      <c r="D317" s="4">
        <v>154</v>
      </c>
      <c r="E317" s="5">
        <v>13.38</v>
      </c>
      <c r="F317" s="4">
        <v>36</v>
      </c>
      <c r="G317" s="5">
        <v>3.62</v>
      </c>
      <c r="H317" s="4">
        <v>0</v>
      </c>
    </row>
    <row r="318" spans="1:8" x14ac:dyDescent="0.2">
      <c r="A318" s="2" t="s">
        <v>85</v>
      </c>
      <c r="B318" s="4">
        <v>293</v>
      </c>
      <c r="C318" s="5">
        <v>13.51</v>
      </c>
      <c r="D318" s="4">
        <v>245</v>
      </c>
      <c r="E318" s="5">
        <v>21.29</v>
      </c>
      <c r="F318" s="4">
        <v>45</v>
      </c>
      <c r="G318" s="5">
        <v>4.53</v>
      </c>
      <c r="H318" s="4">
        <v>0</v>
      </c>
    </row>
    <row r="319" spans="1:8" x14ac:dyDescent="0.2">
      <c r="A319" s="2" t="s">
        <v>86</v>
      </c>
      <c r="B319" s="4">
        <v>85</v>
      </c>
      <c r="C319" s="5">
        <v>3.92</v>
      </c>
      <c r="D319" s="4">
        <v>59</v>
      </c>
      <c r="E319" s="5">
        <v>5.13</v>
      </c>
      <c r="F319" s="4">
        <v>17</v>
      </c>
      <c r="G319" s="5">
        <v>1.71</v>
      </c>
      <c r="H319" s="4">
        <v>0</v>
      </c>
    </row>
    <row r="320" spans="1:8" x14ac:dyDescent="0.2">
      <c r="A320" s="2" t="s">
        <v>87</v>
      </c>
      <c r="B320" s="4">
        <v>86</v>
      </c>
      <c r="C320" s="5">
        <v>3.96</v>
      </c>
      <c r="D320" s="4">
        <v>58</v>
      </c>
      <c r="E320" s="5">
        <v>5.04</v>
      </c>
      <c r="F320" s="4">
        <v>23</v>
      </c>
      <c r="G320" s="5">
        <v>2.31</v>
      </c>
      <c r="H320" s="4">
        <v>0</v>
      </c>
    </row>
    <row r="321" spans="1:8" x14ac:dyDescent="0.2">
      <c r="A321" s="2" t="s">
        <v>88</v>
      </c>
      <c r="B321" s="4">
        <v>92</v>
      </c>
      <c r="C321" s="5">
        <v>4.24</v>
      </c>
      <c r="D321" s="4">
        <v>44</v>
      </c>
      <c r="E321" s="5">
        <v>3.82</v>
      </c>
      <c r="F321" s="4">
        <v>43</v>
      </c>
      <c r="G321" s="5">
        <v>4.33</v>
      </c>
      <c r="H321" s="4">
        <v>0</v>
      </c>
    </row>
    <row r="322" spans="1:8" x14ac:dyDescent="0.2">
      <c r="A322" s="1" t="s">
        <v>20</v>
      </c>
      <c r="B322" s="4">
        <v>1890</v>
      </c>
      <c r="C322" s="5">
        <v>100</v>
      </c>
      <c r="D322" s="4">
        <v>1080</v>
      </c>
      <c r="E322" s="5">
        <v>99.98</v>
      </c>
      <c r="F322" s="4">
        <v>792</v>
      </c>
      <c r="G322" s="5">
        <v>100</v>
      </c>
      <c r="H322" s="4">
        <v>1</v>
      </c>
    </row>
    <row r="323" spans="1:8" x14ac:dyDescent="0.2">
      <c r="A323" s="2" t="s">
        <v>74</v>
      </c>
      <c r="B323" s="4">
        <v>2</v>
      </c>
      <c r="C323" s="5">
        <v>0.11</v>
      </c>
      <c r="D323" s="4">
        <v>0</v>
      </c>
      <c r="E323" s="5">
        <v>0</v>
      </c>
      <c r="F323" s="4">
        <v>2</v>
      </c>
      <c r="G323" s="5">
        <v>0.25</v>
      </c>
      <c r="H323" s="4">
        <v>0</v>
      </c>
    </row>
    <row r="324" spans="1:8" x14ac:dyDescent="0.2">
      <c r="A324" s="2" t="s">
        <v>75</v>
      </c>
      <c r="B324" s="4">
        <v>240</v>
      </c>
      <c r="C324" s="5">
        <v>12.7</v>
      </c>
      <c r="D324" s="4">
        <v>87</v>
      </c>
      <c r="E324" s="5">
        <v>8.06</v>
      </c>
      <c r="F324" s="4">
        <v>153</v>
      </c>
      <c r="G324" s="5">
        <v>19.32</v>
      </c>
      <c r="H324" s="4">
        <v>0</v>
      </c>
    </row>
    <row r="325" spans="1:8" x14ac:dyDescent="0.2">
      <c r="A325" s="2" t="s">
        <v>76</v>
      </c>
      <c r="B325" s="4">
        <v>155</v>
      </c>
      <c r="C325" s="5">
        <v>8.1999999999999993</v>
      </c>
      <c r="D325" s="4">
        <v>63</v>
      </c>
      <c r="E325" s="5">
        <v>5.83</v>
      </c>
      <c r="F325" s="4">
        <v>92</v>
      </c>
      <c r="G325" s="5">
        <v>11.62</v>
      </c>
      <c r="H325" s="4">
        <v>0</v>
      </c>
    </row>
    <row r="326" spans="1:8" x14ac:dyDescent="0.2">
      <c r="A326" s="2" t="s">
        <v>77</v>
      </c>
      <c r="B326" s="4">
        <v>6</v>
      </c>
      <c r="C326" s="5">
        <v>0.32</v>
      </c>
      <c r="D326" s="4">
        <v>0</v>
      </c>
      <c r="E326" s="5">
        <v>0</v>
      </c>
      <c r="F326" s="4">
        <v>6</v>
      </c>
      <c r="G326" s="5">
        <v>0.76</v>
      </c>
      <c r="H326" s="4">
        <v>0</v>
      </c>
    </row>
    <row r="327" spans="1:8" x14ac:dyDescent="0.2">
      <c r="A327" s="2" t="s">
        <v>78</v>
      </c>
      <c r="B327" s="4">
        <v>5</v>
      </c>
      <c r="C327" s="5">
        <v>0.26</v>
      </c>
      <c r="D327" s="4">
        <v>0</v>
      </c>
      <c r="E327" s="5">
        <v>0</v>
      </c>
      <c r="F327" s="4">
        <v>5</v>
      </c>
      <c r="G327" s="5">
        <v>0.63</v>
      </c>
      <c r="H327" s="4">
        <v>0</v>
      </c>
    </row>
    <row r="328" spans="1:8" x14ac:dyDescent="0.2">
      <c r="A328" s="2" t="s">
        <v>79</v>
      </c>
      <c r="B328" s="4">
        <v>10</v>
      </c>
      <c r="C328" s="5">
        <v>0.53</v>
      </c>
      <c r="D328" s="4">
        <v>1</v>
      </c>
      <c r="E328" s="5">
        <v>0.09</v>
      </c>
      <c r="F328" s="4">
        <v>9</v>
      </c>
      <c r="G328" s="5">
        <v>1.1399999999999999</v>
      </c>
      <c r="H328" s="4">
        <v>0</v>
      </c>
    </row>
    <row r="329" spans="1:8" x14ac:dyDescent="0.2">
      <c r="A329" s="2" t="s">
        <v>80</v>
      </c>
      <c r="B329" s="4">
        <v>425</v>
      </c>
      <c r="C329" s="5">
        <v>22.49</v>
      </c>
      <c r="D329" s="4">
        <v>227</v>
      </c>
      <c r="E329" s="5">
        <v>21.02</v>
      </c>
      <c r="F329" s="4">
        <v>198</v>
      </c>
      <c r="G329" s="5">
        <v>25</v>
      </c>
      <c r="H329" s="4">
        <v>0</v>
      </c>
    </row>
    <row r="330" spans="1:8" x14ac:dyDescent="0.2">
      <c r="A330" s="2" t="s">
        <v>81</v>
      </c>
      <c r="B330" s="4">
        <v>11</v>
      </c>
      <c r="C330" s="5">
        <v>0.57999999999999996</v>
      </c>
      <c r="D330" s="4">
        <v>1</v>
      </c>
      <c r="E330" s="5">
        <v>0.09</v>
      </c>
      <c r="F330" s="4">
        <v>10</v>
      </c>
      <c r="G330" s="5">
        <v>1.26</v>
      </c>
      <c r="H330" s="4">
        <v>0</v>
      </c>
    </row>
    <row r="331" spans="1:8" x14ac:dyDescent="0.2">
      <c r="A331" s="2" t="s">
        <v>82</v>
      </c>
      <c r="B331" s="4">
        <v>179</v>
      </c>
      <c r="C331" s="5">
        <v>9.4700000000000006</v>
      </c>
      <c r="D331" s="4">
        <v>75</v>
      </c>
      <c r="E331" s="5">
        <v>6.94</v>
      </c>
      <c r="F331" s="4">
        <v>104</v>
      </c>
      <c r="G331" s="5">
        <v>13.13</v>
      </c>
      <c r="H331" s="4">
        <v>0</v>
      </c>
    </row>
    <row r="332" spans="1:8" x14ac:dyDescent="0.2">
      <c r="A332" s="2" t="s">
        <v>83</v>
      </c>
      <c r="B332" s="4">
        <v>101</v>
      </c>
      <c r="C332" s="5">
        <v>5.34</v>
      </c>
      <c r="D332" s="4">
        <v>61</v>
      </c>
      <c r="E332" s="5">
        <v>5.65</v>
      </c>
      <c r="F332" s="4">
        <v>40</v>
      </c>
      <c r="G332" s="5">
        <v>5.05</v>
      </c>
      <c r="H332" s="4">
        <v>0</v>
      </c>
    </row>
    <row r="333" spans="1:8" x14ac:dyDescent="0.2">
      <c r="A333" s="2" t="s">
        <v>84</v>
      </c>
      <c r="B333" s="4">
        <v>242</v>
      </c>
      <c r="C333" s="5">
        <v>12.8</v>
      </c>
      <c r="D333" s="4">
        <v>202</v>
      </c>
      <c r="E333" s="5">
        <v>18.7</v>
      </c>
      <c r="F333" s="4">
        <v>39</v>
      </c>
      <c r="G333" s="5">
        <v>4.92</v>
      </c>
      <c r="H333" s="4">
        <v>1</v>
      </c>
    </row>
    <row r="334" spans="1:8" x14ac:dyDescent="0.2">
      <c r="A334" s="2" t="s">
        <v>85</v>
      </c>
      <c r="B334" s="4">
        <v>258</v>
      </c>
      <c r="C334" s="5">
        <v>13.65</v>
      </c>
      <c r="D334" s="4">
        <v>205</v>
      </c>
      <c r="E334" s="5">
        <v>18.98</v>
      </c>
      <c r="F334" s="4">
        <v>53</v>
      </c>
      <c r="G334" s="5">
        <v>6.69</v>
      </c>
      <c r="H334" s="4">
        <v>0</v>
      </c>
    </row>
    <row r="335" spans="1:8" x14ac:dyDescent="0.2">
      <c r="A335" s="2" t="s">
        <v>86</v>
      </c>
      <c r="B335" s="4">
        <v>83</v>
      </c>
      <c r="C335" s="5">
        <v>4.3899999999999997</v>
      </c>
      <c r="D335" s="4">
        <v>52</v>
      </c>
      <c r="E335" s="5">
        <v>4.8099999999999996</v>
      </c>
      <c r="F335" s="4">
        <v>18</v>
      </c>
      <c r="G335" s="5">
        <v>2.27</v>
      </c>
      <c r="H335" s="4">
        <v>0</v>
      </c>
    </row>
    <row r="336" spans="1:8" x14ac:dyDescent="0.2">
      <c r="A336" s="2" t="s">
        <v>87</v>
      </c>
      <c r="B336" s="4">
        <v>109</v>
      </c>
      <c r="C336" s="5">
        <v>5.77</v>
      </c>
      <c r="D336" s="4">
        <v>67</v>
      </c>
      <c r="E336" s="5">
        <v>6.2</v>
      </c>
      <c r="F336" s="4">
        <v>41</v>
      </c>
      <c r="G336" s="5">
        <v>5.18</v>
      </c>
      <c r="H336" s="4">
        <v>0</v>
      </c>
    </row>
    <row r="337" spans="1:8" x14ac:dyDescent="0.2">
      <c r="A337" s="2" t="s">
        <v>88</v>
      </c>
      <c r="B337" s="4">
        <v>64</v>
      </c>
      <c r="C337" s="5">
        <v>3.39</v>
      </c>
      <c r="D337" s="4">
        <v>39</v>
      </c>
      <c r="E337" s="5">
        <v>3.61</v>
      </c>
      <c r="F337" s="4">
        <v>22</v>
      </c>
      <c r="G337" s="5">
        <v>2.78</v>
      </c>
      <c r="H337" s="4">
        <v>0</v>
      </c>
    </row>
    <row r="338" spans="1:8" x14ac:dyDescent="0.2">
      <c r="A338" s="1" t="s">
        <v>21</v>
      </c>
      <c r="B338" s="4">
        <v>1900</v>
      </c>
      <c r="C338" s="5">
        <v>100</v>
      </c>
      <c r="D338" s="4">
        <v>951</v>
      </c>
      <c r="E338" s="5">
        <v>100.01</v>
      </c>
      <c r="F338" s="4">
        <v>944</v>
      </c>
      <c r="G338" s="5">
        <v>100.03</v>
      </c>
      <c r="H338" s="4">
        <v>0</v>
      </c>
    </row>
    <row r="339" spans="1:8" x14ac:dyDescent="0.2">
      <c r="A339" s="2" t="s">
        <v>74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2">
      <c r="A340" s="2" t="s">
        <v>75</v>
      </c>
      <c r="B340" s="4">
        <v>295</v>
      </c>
      <c r="C340" s="5">
        <v>15.53</v>
      </c>
      <c r="D340" s="4">
        <v>88</v>
      </c>
      <c r="E340" s="5">
        <v>9.25</v>
      </c>
      <c r="F340" s="4">
        <v>207</v>
      </c>
      <c r="G340" s="5">
        <v>21.93</v>
      </c>
      <c r="H340" s="4">
        <v>0</v>
      </c>
    </row>
    <row r="341" spans="1:8" x14ac:dyDescent="0.2">
      <c r="A341" s="2" t="s">
        <v>76</v>
      </c>
      <c r="B341" s="4">
        <v>148</v>
      </c>
      <c r="C341" s="5">
        <v>7.79</v>
      </c>
      <c r="D341" s="4">
        <v>45</v>
      </c>
      <c r="E341" s="5">
        <v>4.7300000000000004</v>
      </c>
      <c r="F341" s="4">
        <v>103</v>
      </c>
      <c r="G341" s="5">
        <v>10.91</v>
      </c>
      <c r="H341" s="4">
        <v>0</v>
      </c>
    </row>
    <row r="342" spans="1:8" x14ac:dyDescent="0.2">
      <c r="A342" s="2" t="s">
        <v>77</v>
      </c>
      <c r="B342" s="4">
        <v>5</v>
      </c>
      <c r="C342" s="5">
        <v>0.26</v>
      </c>
      <c r="D342" s="4">
        <v>0</v>
      </c>
      <c r="E342" s="5">
        <v>0</v>
      </c>
      <c r="F342" s="4">
        <v>5</v>
      </c>
      <c r="G342" s="5">
        <v>0.53</v>
      </c>
      <c r="H342" s="4">
        <v>0</v>
      </c>
    </row>
    <row r="343" spans="1:8" x14ac:dyDescent="0.2">
      <c r="A343" s="2" t="s">
        <v>78</v>
      </c>
      <c r="B343" s="4">
        <v>12</v>
      </c>
      <c r="C343" s="5">
        <v>0.63</v>
      </c>
      <c r="D343" s="4">
        <v>1</v>
      </c>
      <c r="E343" s="5">
        <v>0.11</v>
      </c>
      <c r="F343" s="4">
        <v>11</v>
      </c>
      <c r="G343" s="5">
        <v>1.17</v>
      </c>
      <c r="H343" s="4">
        <v>0</v>
      </c>
    </row>
    <row r="344" spans="1:8" x14ac:dyDescent="0.2">
      <c r="A344" s="2" t="s">
        <v>79</v>
      </c>
      <c r="B344" s="4">
        <v>27</v>
      </c>
      <c r="C344" s="5">
        <v>1.42</v>
      </c>
      <c r="D344" s="4">
        <v>4</v>
      </c>
      <c r="E344" s="5">
        <v>0.42</v>
      </c>
      <c r="F344" s="4">
        <v>23</v>
      </c>
      <c r="G344" s="5">
        <v>2.44</v>
      </c>
      <c r="H344" s="4">
        <v>0</v>
      </c>
    </row>
    <row r="345" spans="1:8" x14ac:dyDescent="0.2">
      <c r="A345" s="2" t="s">
        <v>80</v>
      </c>
      <c r="B345" s="4">
        <v>411</v>
      </c>
      <c r="C345" s="5">
        <v>21.63</v>
      </c>
      <c r="D345" s="4">
        <v>174</v>
      </c>
      <c r="E345" s="5">
        <v>18.3</v>
      </c>
      <c r="F345" s="4">
        <v>237</v>
      </c>
      <c r="G345" s="5">
        <v>25.11</v>
      </c>
      <c r="H345" s="4">
        <v>0</v>
      </c>
    </row>
    <row r="346" spans="1:8" x14ac:dyDescent="0.2">
      <c r="A346" s="2" t="s">
        <v>81</v>
      </c>
      <c r="B346" s="4">
        <v>4</v>
      </c>
      <c r="C346" s="5">
        <v>0.21</v>
      </c>
      <c r="D346" s="4">
        <v>1</v>
      </c>
      <c r="E346" s="5">
        <v>0.11</v>
      </c>
      <c r="F346" s="4">
        <v>3</v>
      </c>
      <c r="G346" s="5">
        <v>0.32</v>
      </c>
      <c r="H346" s="4">
        <v>0</v>
      </c>
    </row>
    <row r="347" spans="1:8" x14ac:dyDescent="0.2">
      <c r="A347" s="2" t="s">
        <v>82</v>
      </c>
      <c r="B347" s="4">
        <v>129</v>
      </c>
      <c r="C347" s="5">
        <v>6.79</v>
      </c>
      <c r="D347" s="4">
        <v>32</v>
      </c>
      <c r="E347" s="5">
        <v>3.36</v>
      </c>
      <c r="F347" s="4">
        <v>97</v>
      </c>
      <c r="G347" s="5">
        <v>10.28</v>
      </c>
      <c r="H347" s="4">
        <v>0</v>
      </c>
    </row>
    <row r="348" spans="1:8" x14ac:dyDescent="0.2">
      <c r="A348" s="2" t="s">
        <v>83</v>
      </c>
      <c r="B348" s="4">
        <v>106</v>
      </c>
      <c r="C348" s="5">
        <v>5.58</v>
      </c>
      <c r="D348" s="4">
        <v>48</v>
      </c>
      <c r="E348" s="5">
        <v>5.05</v>
      </c>
      <c r="F348" s="4">
        <v>57</v>
      </c>
      <c r="G348" s="5">
        <v>6.04</v>
      </c>
      <c r="H348" s="4">
        <v>0</v>
      </c>
    </row>
    <row r="349" spans="1:8" x14ac:dyDescent="0.2">
      <c r="A349" s="2" t="s">
        <v>84</v>
      </c>
      <c r="B349" s="4">
        <v>235</v>
      </c>
      <c r="C349" s="5">
        <v>12.37</v>
      </c>
      <c r="D349" s="4">
        <v>196</v>
      </c>
      <c r="E349" s="5">
        <v>20.61</v>
      </c>
      <c r="F349" s="4">
        <v>39</v>
      </c>
      <c r="G349" s="5">
        <v>4.13</v>
      </c>
      <c r="H349" s="4">
        <v>0</v>
      </c>
    </row>
    <row r="350" spans="1:8" x14ac:dyDescent="0.2">
      <c r="A350" s="2" t="s">
        <v>85</v>
      </c>
      <c r="B350" s="4">
        <v>259</v>
      </c>
      <c r="C350" s="5">
        <v>13.63</v>
      </c>
      <c r="D350" s="4">
        <v>197</v>
      </c>
      <c r="E350" s="5">
        <v>20.72</v>
      </c>
      <c r="F350" s="4">
        <v>62</v>
      </c>
      <c r="G350" s="5">
        <v>6.57</v>
      </c>
      <c r="H350" s="4">
        <v>0</v>
      </c>
    </row>
    <row r="351" spans="1:8" x14ac:dyDescent="0.2">
      <c r="A351" s="2" t="s">
        <v>86</v>
      </c>
      <c r="B351" s="4">
        <v>83</v>
      </c>
      <c r="C351" s="5">
        <v>4.37</v>
      </c>
      <c r="D351" s="4">
        <v>61</v>
      </c>
      <c r="E351" s="5">
        <v>6.41</v>
      </c>
      <c r="F351" s="4">
        <v>18</v>
      </c>
      <c r="G351" s="5">
        <v>1.91</v>
      </c>
      <c r="H351" s="4">
        <v>0</v>
      </c>
    </row>
    <row r="352" spans="1:8" x14ac:dyDescent="0.2">
      <c r="A352" s="2" t="s">
        <v>87</v>
      </c>
      <c r="B352" s="4">
        <v>118</v>
      </c>
      <c r="C352" s="5">
        <v>6.21</v>
      </c>
      <c r="D352" s="4">
        <v>73</v>
      </c>
      <c r="E352" s="5">
        <v>7.68</v>
      </c>
      <c r="F352" s="4">
        <v>45</v>
      </c>
      <c r="G352" s="5">
        <v>4.7699999999999996</v>
      </c>
      <c r="H352" s="4">
        <v>0</v>
      </c>
    </row>
    <row r="353" spans="1:8" x14ac:dyDescent="0.2">
      <c r="A353" s="2" t="s">
        <v>88</v>
      </c>
      <c r="B353" s="4">
        <v>68</v>
      </c>
      <c r="C353" s="5">
        <v>3.58</v>
      </c>
      <c r="D353" s="4">
        <v>31</v>
      </c>
      <c r="E353" s="5">
        <v>3.26</v>
      </c>
      <c r="F353" s="4">
        <v>37</v>
      </c>
      <c r="G353" s="5">
        <v>3.92</v>
      </c>
      <c r="H353" s="4">
        <v>0</v>
      </c>
    </row>
    <row r="354" spans="1:8" x14ac:dyDescent="0.2">
      <c r="A354" s="1" t="s">
        <v>22</v>
      </c>
      <c r="B354" s="4">
        <v>4204</v>
      </c>
      <c r="C354" s="5">
        <v>100.01</v>
      </c>
      <c r="D354" s="4">
        <v>2208</v>
      </c>
      <c r="E354" s="5">
        <v>100.02000000000001</v>
      </c>
      <c r="F354" s="4">
        <v>1969</v>
      </c>
      <c r="G354" s="5">
        <v>99.98</v>
      </c>
      <c r="H354" s="4">
        <v>2</v>
      </c>
    </row>
    <row r="355" spans="1:8" x14ac:dyDescent="0.2">
      <c r="A355" s="2" t="s">
        <v>74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2">
      <c r="A356" s="2" t="s">
        <v>75</v>
      </c>
      <c r="B356" s="4">
        <v>552</v>
      </c>
      <c r="C356" s="5">
        <v>13.13</v>
      </c>
      <c r="D356" s="4">
        <v>155</v>
      </c>
      <c r="E356" s="5">
        <v>7.02</v>
      </c>
      <c r="F356" s="4">
        <v>397</v>
      </c>
      <c r="G356" s="5">
        <v>20.16</v>
      </c>
      <c r="H356" s="4">
        <v>0</v>
      </c>
    </row>
    <row r="357" spans="1:8" x14ac:dyDescent="0.2">
      <c r="A357" s="2" t="s">
        <v>76</v>
      </c>
      <c r="B357" s="4">
        <v>382</v>
      </c>
      <c r="C357" s="5">
        <v>9.09</v>
      </c>
      <c r="D357" s="4">
        <v>135</v>
      </c>
      <c r="E357" s="5">
        <v>6.11</v>
      </c>
      <c r="F357" s="4">
        <v>247</v>
      </c>
      <c r="G357" s="5">
        <v>12.54</v>
      </c>
      <c r="H357" s="4">
        <v>0</v>
      </c>
    </row>
    <row r="358" spans="1:8" x14ac:dyDescent="0.2">
      <c r="A358" s="2" t="s">
        <v>77</v>
      </c>
      <c r="B358" s="4">
        <v>5</v>
      </c>
      <c r="C358" s="5">
        <v>0.12</v>
      </c>
      <c r="D358" s="4">
        <v>0</v>
      </c>
      <c r="E358" s="5">
        <v>0</v>
      </c>
      <c r="F358" s="4">
        <v>4</v>
      </c>
      <c r="G358" s="5">
        <v>0.2</v>
      </c>
      <c r="H358" s="4">
        <v>0</v>
      </c>
    </row>
    <row r="359" spans="1:8" x14ac:dyDescent="0.2">
      <c r="A359" s="2" t="s">
        <v>78</v>
      </c>
      <c r="B359" s="4">
        <v>42</v>
      </c>
      <c r="C359" s="5">
        <v>1</v>
      </c>
      <c r="D359" s="4">
        <v>1</v>
      </c>
      <c r="E359" s="5">
        <v>0.05</v>
      </c>
      <c r="F359" s="4">
        <v>41</v>
      </c>
      <c r="G359" s="5">
        <v>2.08</v>
      </c>
      <c r="H359" s="4">
        <v>0</v>
      </c>
    </row>
    <row r="360" spans="1:8" x14ac:dyDescent="0.2">
      <c r="A360" s="2" t="s">
        <v>79</v>
      </c>
      <c r="B360" s="4">
        <v>34</v>
      </c>
      <c r="C360" s="5">
        <v>0.81</v>
      </c>
      <c r="D360" s="4">
        <v>5</v>
      </c>
      <c r="E360" s="5">
        <v>0.23</v>
      </c>
      <c r="F360" s="4">
        <v>29</v>
      </c>
      <c r="G360" s="5">
        <v>1.47</v>
      </c>
      <c r="H360" s="4">
        <v>0</v>
      </c>
    </row>
    <row r="361" spans="1:8" x14ac:dyDescent="0.2">
      <c r="A361" s="2" t="s">
        <v>80</v>
      </c>
      <c r="B361" s="4">
        <v>863</v>
      </c>
      <c r="C361" s="5">
        <v>20.53</v>
      </c>
      <c r="D361" s="4">
        <v>374</v>
      </c>
      <c r="E361" s="5">
        <v>16.940000000000001</v>
      </c>
      <c r="F361" s="4">
        <v>488</v>
      </c>
      <c r="G361" s="5">
        <v>24.78</v>
      </c>
      <c r="H361" s="4">
        <v>1</v>
      </c>
    </row>
    <row r="362" spans="1:8" x14ac:dyDescent="0.2">
      <c r="A362" s="2" t="s">
        <v>81</v>
      </c>
      <c r="B362" s="4">
        <v>20</v>
      </c>
      <c r="C362" s="5">
        <v>0.48</v>
      </c>
      <c r="D362" s="4">
        <v>3</v>
      </c>
      <c r="E362" s="5">
        <v>0.14000000000000001</v>
      </c>
      <c r="F362" s="4">
        <v>17</v>
      </c>
      <c r="G362" s="5">
        <v>0.86</v>
      </c>
      <c r="H362" s="4">
        <v>0</v>
      </c>
    </row>
    <row r="363" spans="1:8" x14ac:dyDescent="0.2">
      <c r="A363" s="2" t="s">
        <v>82</v>
      </c>
      <c r="B363" s="4">
        <v>392</v>
      </c>
      <c r="C363" s="5">
        <v>9.32</v>
      </c>
      <c r="D363" s="4">
        <v>138</v>
      </c>
      <c r="E363" s="5">
        <v>6.25</v>
      </c>
      <c r="F363" s="4">
        <v>254</v>
      </c>
      <c r="G363" s="5">
        <v>12.9</v>
      </c>
      <c r="H363" s="4">
        <v>0</v>
      </c>
    </row>
    <row r="364" spans="1:8" x14ac:dyDescent="0.2">
      <c r="A364" s="2" t="s">
        <v>83</v>
      </c>
      <c r="B364" s="4">
        <v>231</v>
      </c>
      <c r="C364" s="5">
        <v>5.49</v>
      </c>
      <c r="D364" s="4">
        <v>120</v>
      </c>
      <c r="E364" s="5">
        <v>5.43</v>
      </c>
      <c r="F364" s="4">
        <v>108</v>
      </c>
      <c r="G364" s="5">
        <v>5.49</v>
      </c>
      <c r="H364" s="4">
        <v>0</v>
      </c>
    </row>
    <row r="365" spans="1:8" x14ac:dyDescent="0.2">
      <c r="A365" s="2" t="s">
        <v>84</v>
      </c>
      <c r="B365" s="4">
        <v>486</v>
      </c>
      <c r="C365" s="5">
        <v>11.56</v>
      </c>
      <c r="D365" s="4">
        <v>423</v>
      </c>
      <c r="E365" s="5">
        <v>19.16</v>
      </c>
      <c r="F365" s="4">
        <v>63</v>
      </c>
      <c r="G365" s="5">
        <v>3.2</v>
      </c>
      <c r="H365" s="4">
        <v>0</v>
      </c>
    </row>
    <row r="366" spans="1:8" x14ac:dyDescent="0.2">
      <c r="A366" s="2" t="s">
        <v>85</v>
      </c>
      <c r="B366" s="4">
        <v>641</v>
      </c>
      <c r="C366" s="5">
        <v>15.25</v>
      </c>
      <c r="D366" s="4">
        <v>521</v>
      </c>
      <c r="E366" s="5">
        <v>23.6</v>
      </c>
      <c r="F366" s="4">
        <v>120</v>
      </c>
      <c r="G366" s="5">
        <v>6.09</v>
      </c>
      <c r="H366" s="4">
        <v>0</v>
      </c>
    </row>
    <row r="367" spans="1:8" x14ac:dyDescent="0.2">
      <c r="A367" s="2" t="s">
        <v>86</v>
      </c>
      <c r="B367" s="4">
        <v>189</v>
      </c>
      <c r="C367" s="5">
        <v>4.5</v>
      </c>
      <c r="D367" s="4">
        <v>124</v>
      </c>
      <c r="E367" s="5">
        <v>5.62</v>
      </c>
      <c r="F367" s="4">
        <v>49</v>
      </c>
      <c r="G367" s="5">
        <v>2.4900000000000002</v>
      </c>
      <c r="H367" s="4">
        <v>0</v>
      </c>
    </row>
    <row r="368" spans="1:8" x14ac:dyDescent="0.2">
      <c r="A368" s="2" t="s">
        <v>87</v>
      </c>
      <c r="B368" s="4">
        <v>203</v>
      </c>
      <c r="C368" s="5">
        <v>4.83</v>
      </c>
      <c r="D368" s="4">
        <v>149</v>
      </c>
      <c r="E368" s="5">
        <v>6.75</v>
      </c>
      <c r="F368" s="4">
        <v>51</v>
      </c>
      <c r="G368" s="5">
        <v>2.59</v>
      </c>
      <c r="H368" s="4">
        <v>0</v>
      </c>
    </row>
    <row r="369" spans="1:8" x14ac:dyDescent="0.2">
      <c r="A369" s="2" t="s">
        <v>88</v>
      </c>
      <c r="B369" s="4">
        <v>164</v>
      </c>
      <c r="C369" s="5">
        <v>3.9</v>
      </c>
      <c r="D369" s="4">
        <v>60</v>
      </c>
      <c r="E369" s="5">
        <v>2.72</v>
      </c>
      <c r="F369" s="4">
        <v>101</v>
      </c>
      <c r="G369" s="5">
        <v>5.13</v>
      </c>
      <c r="H369" s="4">
        <v>1</v>
      </c>
    </row>
    <row r="370" spans="1:8" x14ac:dyDescent="0.2">
      <c r="A370" s="1" t="s">
        <v>23</v>
      </c>
      <c r="B370" s="4">
        <v>2584</v>
      </c>
      <c r="C370" s="5">
        <v>99.980000000000018</v>
      </c>
      <c r="D370" s="4">
        <v>1251</v>
      </c>
      <c r="E370" s="5">
        <v>99.999999999999986</v>
      </c>
      <c r="F370" s="4">
        <v>1314</v>
      </c>
      <c r="G370" s="5">
        <v>100.00000000000001</v>
      </c>
      <c r="H370" s="4">
        <v>7</v>
      </c>
    </row>
    <row r="371" spans="1:8" x14ac:dyDescent="0.2">
      <c r="A371" s="2" t="s">
        <v>74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2">
      <c r="A372" s="2" t="s">
        <v>75</v>
      </c>
      <c r="B372" s="4">
        <v>391</v>
      </c>
      <c r="C372" s="5">
        <v>15.13</v>
      </c>
      <c r="D372" s="4">
        <v>99</v>
      </c>
      <c r="E372" s="5">
        <v>7.91</v>
      </c>
      <c r="F372" s="4">
        <v>292</v>
      </c>
      <c r="G372" s="5">
        <v>22.22</v>
      </c>
      <c r="H372" s="4">
        <v>0</v>
      </c>
    </row>
    <row r="373" spans="1:8" x14ac:dyDescent="0.2">
      <c r="A373" s="2" t="s">
        <v>76</v>
      </c>
      <c r="B373" s="4">
        <v>228</v>
      </c>
      <c r="C373" s="5">
        <v>8.82</v>
      </c>
      <c r="D373" s="4">
        <v>66</v>
      </c>
      <c r="E373" s="5">
        <v>5.28</v>
      </c>
      <c r="F373" s="4">
        <v>162</v>
      </c>
      <c r="G373" s="5">
        <v>12.33</v>
      </c>
      <c r="H373" s="4">
        <v>0</v>
      </c>
    </row>
    <row r="374" spans="1:8" x14ac:dyDescent="0.2">
      <c r="A374" s="2" t="s">
        <v>77</v>
      </c>
      <c r="B374" s="4">
        <v>0</v>
      </c>
      <c r="C374" s="5">
        <v>0</v>
      </c>
      <c r="D374" s="4">
        <v>0</v>
      </c>
      <c r="E374" s="5">
        <v>0</v>
      </c>
      <c r="F374" s="4">
        <v>0</v>
      </c>
      <c r="G374" s="5">
        <v>0</v>
      </c>
      <c r="H374" s="4">
        <v>0</v>
      </c>
    </row>
    <row r="375" spans="1:8" x14ac:dyDescent="0.2">
      <c r="A375" s="2" t="s">
        <v>78</v>
      </c>
      <c r="B375" s="4">
        <v>32</v>
      </c>
      <c r="C375" s="5">
        <v>1.24</v>
      </c>
      <c r="D375" s="4">
        <v>1</v>
      </c>
      <c r="E375" s="5">
        <v>0.08</v>
      </c>
      <c r="F375" s="4">
        <v>30</v>
      </c>
      <c r="G375" s="5">
        <v>2.2799999999999998</v>
      </c>
      <c r="H375" s="4">
        <v>1</v>
      </c>
    </row>
    <row r="376" spans="1:8" x14ac:dyDescent="0.2">
      <c r="A376" s="2" t="s">
        <v>79</v>
      </c>
      <c r="B376" s="4">
        <v>28</v>
      </c>
      <c r="C376" s="5">
        <v>1.08</v>
      </c>
      <c r="D376" s="4">
        <v>2</v>
      </c>
      <c r="E376" s="5">
        <v>0.16</v>
      </c>
      <c r="F376" s="4">
        <v>26</v>
      </c>
      <c r="G376" s="5">
        <v>1.98</v>
      </c>
      <c r="H376" s="4">
        <v>0</v>
      </c>
    </row>
    <row r="377" spans="1:8" x14ac:dyDescent="0.2">
      <c r="A377" s="2" t="s">
        <v>80</v>
      </c>
      <c r="B377" s="4">
        <v>531</v>
      </c>
      <c r="C377" s="5">
        <v>20.55</v>
      </c>
      <c r="D377" s="4">
        <v>226</v>
      </c>
      <c r="E377" s="5">
        <v>18.07</v>
      </c>
      <c r="F377" s="4">
        <v>305</v>
      </c>
      <c r="G377" s="5">
        <v>23.21</v>
      </c>
      <c r="H377" s="4">
        <v>0</v>
      </c>
    </row>
    <row r="378" spans="1:8" x14ac:dyDescent="0.2">
      <c r="A378" s="2" t="s">
        <v>81</v>
      </c>
      <c r="B378" s="4">
        <v>13</v>
      </c>
      <c r="C378" s="5">
        <v>0.5</v>
      </c>
      <c r="D378" s="4">
        <v>2</v>
      </c>
      <c r="E378" s="5">
        <v>0.16</v>
      </c>
      <c r="F378" s="4">
        <v>11</v>
      </c>
      <c r="G378" s="5">
        <v>0.84</v>
      </c>
      <c r="H378" s="4">
        <v>0</v>
      </c>
    </row>
    <row r="379" spans="1:8" x14ac:dyDescent="0.2">
      <c r="A379" s="2" t="s">
        <v>82</v>
      </c>
      <c r="B379" s="4">
        <v>258</v>
      </c>
      <c r="C379" s="5">
        <v>9.98</v>
      </c>
      <c r="D379" s="4">
        <v>87</v>
      </c>
      <c r="E379" s="5">
        <v>6.95</v>
      </c>
      <c r="F379" s="4">
        <v>168</v>
      </c>
      <c r="G379" s="5">
        <v>12.79</v>
      </c>
      <c r="H379" s="4">
        <v>2</v>
      </c>
    </row>
    <row r="380" spans="1:8" x14ac:dyDescent="0.2">
      <c r="A380" s="2" t="s">
        <v>83</v>
      </c>
      <c r="B380" s="4">
        <v>146</v>
      </c>
      <c r="C380" s="5">
        <v>5.65</v>
      </c>
      <c r="D380" s="4">
        <v>75</v>
      </c>
      <c r="E380" s="5">
        <v>6</v>
      </c>
      <c r="F380" s="4">
        <v>70</v>
      </c>
      <c r="G380" s="5">
        <v>5.33</v>
      </c>
      <c r="H380" s="4">
        <v>1</v>
      </c>
    </row>
    <row r="381" spans="1:8" x14ac:dyDescent="0.2">
      <c r="A381" s="2" t="s">
        <v>84</v>
      </c>
      <c r="B381" s="4">
        <v>281</v>
      </c>
      <c r="C381" s="5">
        <v>10.87</v>
      </c>
      <c r="D381" s="4">
        <v>224</v>
      </c>
      <c r="E381" s="5">
        <v>17.91</v>
      </c>
      <c r="F381" s="4">
        <v>54</v>
      </c>
      <c r="G381" s="5">
        <v>4.1100000000000003</v>
      </c>
      <c r="H381" s="4">
        <v>0</v>
      </c>
    </row>
    <row r="382" spans="1:8" x14ac:dyDescent="0.2">
      <c r="A382" s="2" t="s">
        <v>85</v>
      </c>
      <c r="B382" s="4">
        <v>327</v>
      </c>
      <c r="C382" s="5">
        <v>12.65</v>
      </c>
      <c r="D382" s="4">
        <v>247</v>
      </c>
      <c r="E382" s="5">
        <v>19.739999999999998</v>
      </c>
      <c r="F382" s="4">
        <v>79</v>
      </c>
      <c r="G382" s="5">
        <v>6.01</v>
      </c>
      <c r="H382" s="4">
        <v>1</v>
      </c>
    </row>
    <row r="383" spans="1:8" x14ac:dyDescent="0.2">
      <c r="A383" s="2" t="s">
        <v>86</v>
      </c>
      <c r="B383" s="4">
        <v>110</v>
      </c>
      <c r="C383" s="5">
        <v>4.26</v>
      </c>
      <c r="D383" s="4">
        <v>90</v>
      </c>
      <c r="E383" s="5">
        <v>7.19</v>
      </c>
      <c r="F383" s="4">
        <v>17</v>
      </c>
      <c r="G383" s="5">
        <v>1.29</v>
      </c>
      <c r="H383" s="4">
        <v>1</v>
      </c>
    </row>
    <row r="384" spans="1:8" x14ac:dyDescent="0.2">
      <c r="A384" s="2" t="s">
        <v>87</v>
      </c>
      <c r="B384" s="4">
        <v>151</v>
      </c>
      <c r="C384" s="5">
        <v>5.84</v>
      </c>
      <c r="D384" s="4">
        <v>97</v>
      </c>
      <c r="E384" s="5">
        <v>7.75</v>
      </c>
      <c r="F384" s="4">
        <v>49</v>
      </c>
      <c r="G384" s="5">
        <v>3.73</v>
      </c>
      <c r="H384" s="4">
        <v>1</v>
      </c>
    </row>
    <row r="385" spans="1:8" x14ac:dyDescent="0.2">
      <c r="A385" s="2" t="s">
        <v>88</v>
      </c>
      <c r="B385" s="4">
        <v>88</v>
      </c>
      <c r="C385" s="5">
        <v>3.41</v>
      </c>
      <c r="D385" s="4">
        <v>35</v>
      </c>
      <c r="E385" s="5">
        <v>2.8</v>
      </c>
      <c r="F385" s="4">
        <v>51</v>
      </c>
      <c r="G385" s="5">
        <v>3.88</v>
      </c>
      <c r="H385" s="4">
        <v>0</v>
      </c>
    </row>
    <row r="386" spans="1:8" x14ac:dyDescent="0.2">
      <c r="A386" s="1" t="s">
        <v>24</v>
      </c>
      <c r="B386" s="4">
        <v>1184</v>
      </c>
      <c r="C386" s="5">
        <v>100.00000000000001</v>
      </c>
      <c r="D386" s="4">
        <v>643</v>
      </c>
      <c r="E386" s="5">
        <v>99.990000000000009</v>
      </c>
      <c r="F386" s="4">
        <v>532</v>
      </c>
      <c r="G386" s="5">
        <v>100</v>
      </c>
      <c r="H386" s="4">
        <v>0</v>
      </c>
    </row>
    <row r="387" spans="1:8" x14ac:dyDescent="0.2">
      <c r="A387" s="2" t="s">
        <v>74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2">
      <c r="A388" s="2" t="s">
        <v>75</v>
      </c>
      <c r="B388" s="4">
        <v>160</v>
      </c>
      <c r="C388" s="5">
        <v>13.51</v>
      </c>
      <c r="D388" s="4">
        <v>76</v>
      </c>
      <c r="E388" s="5">
        <v>11.82</v>
      </c>
      <c r="F388" s="4">
        <v>84</v>
      </c>
      <c r="G388" s="5">
        <v>15.79</v>
      </c>
      <c r="H388" s="4">
        <v>0</v>
      </c>
    </row>
    <row r="389" spans="1:8" x14ac:dyDescent="0.2">
      <c r="A389" s="2" t="s">
        <v>76</v>
      </c>
      <c r="B389" s="4">
        <v>179</v>
      </c>
      <c r="C389" s="5">
        <v>15.12</v>
      </c>
      <c r="D389" s="4">
        <v>80</v>
      </c>
      <c r="E389" s="5">
        <v>12.44</v>
      </c>
      <c r="F389" s="4">
        <v>99</v>
      </c>
      <c r="G389" s="5">
        <v>18.61</v>
      </c>
      <c r="H389" s="4">
        <v>0</v>
      </c>
    </row>
    <row r="390" spans="1:8" x14ac:dyDescent="0.2">
      <c r="A390" s="2" t="s">
        <v>77</v>
      </c>
      <c r="B390" s="4">
        <v>2</v>
      </c>
      <c r="C390" s="5">
        <v>0.17</v>
      </c>
      <c r="D390" s="4">
        <v>0</v>
      </c>
      <c r="E390" s="5">
        <v>0</v>
      </c>
      <c r="F390" s="4">
        <v>2</v>
      </c>
      <c r="G390" s="5">
        <v>0.38</v>
      </c>
      <c r="H390" s="4">
        <v>0</v>
      </c>
    </row>
    <row r="391" spans="1:8" x14ac:dyDescent="0.2">
      <c r="A391" s="2" t="s">
        <v>78</v>
      </c>
      <c r="B391" s="4">
        <v>4</v>
      </c>
      <c r="C391" s="5">
        <v>0.34</v>
      </c>
      <c r="D391" s="4">
        <v>0</v>
      </c>
      <c r="E391" s="5">
        <v>0</v>
      </c>
      <c r="F391" s="4">
        <v>4</v>
      </c>
      <c r="G391" s="5">
        <v>0.75</v>
      </c>
      <c r="H391" s="4">
        <v>0</v>
      </c>
    </row>
    <row r="392" spans="1:8" x14ac:dyDescent="0.2">
      <c r="A392" s="2" t="s">
        <v>79</v>
      </c>
      <c r="B392" s="4">
        <v>19</v>
      </c>
      <c r="C392" s="5">
        <v>1.6</v>
      </c>
      <c r="D392" s="4">
        <v>2</v>
      </c>
      <c r="E392" s="5">
        <v>0.31</v>
      </c>
      <c r="F392" s="4">
        <v>17</v>
      </c>
      <c r="G392" s="5">
        <v>3.2</v>
      </c>
      <c r="H392" s="4">
        <v>0</v>
      </c>
    </row>
    <row r="393" spans="1:8" x14ac:dyDescent="0.2">
      <c r="A393" s="2" t="s">
        <v>80</v>
      </c>
      <c r="B393" s="4">
        <v>293</v>
      </c>
      <c r="C393" s="5">
        <v>24.75</v>
      </c>
      <c r="D393" s="4">
        <v>126</v>
      </c>
      <c r="E393" s="5">
        <v>19.600000000000001</v>
      </c>
      <c r="F393" s="4">
        <v>167</v>
      </c>
      <c r="G393" s="5">
        <v>31.39</v>
      </c>
      <c r="H393" s="4">
        <v>0</v>
      </c>
    </row>
    <row r="394" spans="1:8" x14ac:dyDescent="0.2">
      <c r="A394" s="2" t="s">
        <v>81</v>
      </c>
      <c r="B394" s="4">
        <v>10</v>
      </c>
      <c r="C394" s="5">
        <v>0.84</v>
      </c>
      <c r="D394" s="4">
        <v>2</v>
      </c>
      <c r="E394" s="5">
        <v>0.31</v>
      </c>
      <c r="F394" s="4">
        <v>8</v>
      </c>
      <c r="G394" s="5">
        <v>1.5</v>
      </c>
      <c r="H394" s="4">
        <v>0</v>
      </c>
    </row>
    <row r="395" spans="1:8" x14ac:dyDescent="0.2">
      <c r="A395" s="2" t="s">
        <v>82</v>
      </c>
      <c r="B395" s="4">
        <v>83</v>
      </c>
      <c r="C395" s="5">
        <v>7.01</v>
      </c>
      <c r="D395" s="4">
        <v>33</v>
      </c>
      <c r="E395" s="5">
        <v>5.13</v>
      </c>
      <c r="F395" s="4">
        <v>50</v>
      </c>
      <c r="G395" s="5">
        <v>9.4</v>
      </c>
      <c r="H395" s="4">
        <v>0</v>
      </c>
    </row>
    <row r="396" spans="1:8" x14ac:dyDescent="0.2">
      <c r="A396" s="2" t="s">
        <v>83</v>
      </c>
      <c r="B396" s="4">
        <v>37</v>
      </c>
      <c r="C396" s="5">
        <v>3.13</v>
      </c>
      <c r="D396" s="4">
        <v>18</v>
      </c>
      <c r="E396" s="5">
        <v>2.8</v>
      </c>
      <c r="F396" s="4">
        <v>18</v>
      </c>
      <c r="G396" s="5">
        <v>3.38</v>
      </c>
      <c r="H396" s="4">
        <v>0</v>
      </c>
    </row>
    <row r="397" spans="1:8" x14ac:dyDescent="0.2">
      <c r="A397" s="2" t="s">
        <v>84</v>
      </c>
      <c r="B397" s="4">
        <v>112</v>
      </c>
      <c r="C397" s="5">
        <v>9.4600000000000009</v>
      </c>
      <c r="D397" s="4">
        <v>95</v>
      </c>
      <c r="E397" s="5">
        <v>14.77</v>
      </c>
      <c r="F397" s="4">
        <v>16</v>
      </c>
      <c r="G397" s="5">
        <v>3.01</v>
      </c>
      <c r="H397" s="4">
        <v>0</v>
      </c>
    </row>
    <row r="398" spans="1:8" x14ac:dyDescent="0.2">
      <c r="A398" s="2" t="s">
        <v>85</v>
      </c>
      <c r="B398" s="4">
        <v>155</v>
      </c>
      <c r="C398" s="5">
        <v>13.09</v>
      </c>
      <c r="D398" s="4">
        <v>131</v>
      </c>
      <c r="E398" s="5">
        <v>20.37</v>
      </c>
      <c r="F398" s="4">
        <v>23</v>
      </c>
      <c r="G398" s="5">
        <v>4.32</v>
      </c>
      <c r="H398" s="4">
        <v>0</v>
      </c>
    </row>
    <row r="399" spans="1:8" x14ac:dyDescent="0.2">
      <c r="A399" s="2" t="s">
        <v>86</v>
      </c>
      <c r="B399" s="4">
        <v>34</v>
      </c>
      <c r="C399" s="5">
        <v>2.87</v>
      </c>
      <c r="D399" s="4">
        <v>28</v>
      </c>
      <c r="E399" s="5">
        <v>4.3499999999999996</v>
      </c>
      <c r="F399" s="4">
        <v>6</v>
      </c>
      <c r="G399" s="5">
        <v>1.1299999999999999</v>
      </c>
      <c r="H399" s="4">
        <v>0</v>
      </c>
    </row>
    <row r="400" spans="1:8" x14ac:dyDescent="0.2">
      <c r="A400" s="2" t="s">
        <v>87</v>
      </c>
      <c r="B400" s="4">
        <v>53</v>
      </c>
      <c r="C400" s="5">
        <v>4.4800000000000004</v>
      </c>
      <c r="D400" s="4">
        <v>29</v>
      </c>
      <c r="E400" s="5">
        <v>4.51</v>
      </c>
      <c r="F400" s="4">
        <v>19</v>
      </c>
      <c r="G400" s="5">
        <v>3.57</v>
      </c>
      <c r="H400" s="4">
        <v>0</v>
      </c>
    </row>
    <row r="401" spans="1:8" x14ac:dyDescent="0.2">
      <c r="A401" s="2" t="s">
        <v>88</v>
      </c>
      <c r="B401" s="4">
        <v>43</v>
      </c>
      <c r="C401" s="5">
        <v>3.63</v>
      </c>
      <c r="D401" s="4">
        <v>23</v>
      </c>
      <c r="E401" s="5">
        <v>3.58</v>
      </c>
      <c r="F401" s="4">
        <v>19</v>
      </c>
      <c r="G401" s="5">
        <v>3.57</v>
      </c>
      <c r="H401" s="4">
        <v>0</v>
      </c>
    </row>
    <row r="402" spans="1:8" x14ac:dyDescent="0.2">
      <c r="A402" s="1" t="s">
        <v>25</v>
      </c>
      <c r="B402" s="4">
        <v>1959</v>
      </c>
      <c r="C402" s="5">
        <v>99.99</v>
      </c>
      <c r="D402" s="4">
        <v>975</v>
      </c>
      <c r="E402" s="5">
        <v>100.00999999999998</v>
      </c>
      <c r="F402" s="4">
        <v>972</v>
      </c>
      <c r="G402" s="5">
        <v>100</v>
      </c>
      <c r="H402" s="4">
        <v>0</v>
      </c>
    </row>
    <row r="403" spans="1:8" x14ac:dyDescent="0.2">
      <c r="A403" s="2" t="s">
        <v>74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2">
      <c r="A404" s="2" t="s">
        <v>75</v>
      </c>
      <c r="B404" s="4">
        <v>287</v>
      </c>
      <c r="C404" s="5">
        <v>14.65</v>
      </c>
      <c r="D404" s="4">
        <v>89</v>
      </c>
      <c r="E404" s="5">
        <v>9.1300000000000008</v>
      </c>
      <c r="F404" s="4">
        <v>198</v>
      </c>
      <c r="G404" s="5">
        <v>20.37</v>
      </c>
      <c r="H404" s="4">
        <v>0</v>
      </c>
    </row>
    <row r="405" spans="1:8" x14ac:dyDescent="0.2">
      <c r="A405" s="2" t="s">
        <v>76</v>
      </c>
      <c r="B405" s="4">
        <v>169</v>
      </c>
      <c r="C405" s="5">
        <v>8.6300000000000008</v>
      </c>
      <c r="D405" s="4">
        <v>47</v>
      </c>
      <c r="E405" s="5">
        <v>4.82</v>
      </c>
      <c r="F405" s="4">
        <v>122</v>
      </c>
      <c r="G405" s="5">
        <v>12.55</v>
      </c>
      <c r="H405" s="4">
        <v>0</v>
      </c>
    </row>
    <row r="406" spans="1:8" x14ac:dyDescent="0.2">
      <c r="A406" s="2" t="s">
        <v>77</v>
      </c>
      <c r="B406" s="4">
        <v>0</v>
      </c>
      <c r="C406" s="5">
        <v>0</v>
      </c>
      <c r="D406" s="4">
        <v>0</v>
      </c>
      <c r="E406" s="5">
        <v>0</v>
      </c>
      <c r="F406" s="4">
        <v>0</v>
      </c>
      <c r="G406" s="5">
        <v>0</v>
      </c>
      <c r="H406" s="4">
        <v>0</v>
      </c>
    </row>
    <row r="407" spans="1:8" x14ac:dyDescent="0.2">
      <c r="A407" s="2" t="s">
        <v>78</v>
      </c>
      <c r="B407" s="4">
        <v>20</v>
      </c>
      <c r="C407" s="5">
        <v>1.02</v>
      </c>
      <c r="D407" s="4">
        <v>3</v>
      </c>
      <c r="E407" s="5">
        <v>0.31</v>
      </c>
      <c r="F407" s="4">
        <v>17</v>
      </c>
      <c r="G407" s="5">
        <v>1.75</v>
      </c>
      <c r="H407" s="4">
        <v>0</v>
      </c>
    </row>
    <row r="408" spans="1:8" x14ac:dyDescent="0.2">
      <c r="A408" s="2" t="s">
        <v>79</v>
      </c>
      <c r="B408" s="4">
        <v>12</v>
      </c>
      <c r="C408" s="5">
        <v>0.61</v>
      </c>
      <c r="D408" s="4">
        <v>1</v>
      </c>
      <c r="E408" s="5">
        <v>0.1</v>
      </c>
      <c r="F408" s="4">
        <v>11</v>
      </c>
      <c r="G408" s="5">
        <v>1.1299999999999999</v>
      </c>
      <c r="H408" s="4">
        <v>0</v>
      </c>
    </row>
    <row r="409" spans="1:8" x14ac:dyDescent="0.2">
      <c r="A409" s="2" t="s">
        <v>80</v>
      </c>
      <c r="B409" s="4">
        <v>441</v>
      </c>
      <c r="C409" s="5">
        <v>22.51</v>
      </c>
      <c r="D409" s="4">
        <v>187</v>
      </c>
      <c r="E409" s="5">
        <v>19.18</v>
      </c>
      <c r="F409" s="4">
        <v>254</v>
      </c>
      <c r="G409" s="5">
        <v>26.13</v>
      </c>
      <c r="H409" s="4">
        <v>0</v>
      </c>
    </row>
    <row r="410" spans="1:8" x14ac:dyDescent="0.2">
      <c r="A410" s="2" t="s">
        <v>81</v>
      </c>
      <c r="B410" s="4">
        <v>13</v>
      </c>
      <c r="C410" s="5">
        <v>0.66</v>
      </c>
      <c r="D410" s="4">
        <v>6</v>
      </c>
      <c r="E410" s="5">
        <v>0.62</v>
      </c>
      <c r="F410" s="4">
        <v>7</v>
      </c>
      <c r="G410" s="5">
        <v>0.72</v>
      </c>
      <c r="H410" s="4">
        <v>0</v>
      </c>
    </row>
    <row r="411" spans="1:8" x14ac:dyDescent="0.2">
      <c r="A411" s="2" t="s">
        <v>82</v>
      </c>
      <c r="B411" s="4">
        <v>192</v>
      </c>
      <c r="C411" s="5">
        <v>9.8000000000000007</v>
      </c>
      <c r="D411" s="4">
        <v>96</v>
      </c>
      <c r="E411" s="5">
        <v>9.85</v>
      </c>
      <c r="F411" s="4">
        <v>95</v>
      </c>
      <c r="G411" s="5">
        <v>9.77</v>
      </c>
      <c r="H411" s="4">
        <v>0</v>
      </c>
    </row>
    <row r="412" spans="1:8" x14ac:dyDescent="0.2">
      <c r="A412" s="2" t="s">
        <v>83</v>
      </c>
      <c r="B412" s="4">
        <v>92</v>
      </c>
      <c r="C412" s="5">
        <v>4.7</v>
      </c>
      <c r="D412" s="4">
        <v>44</v>
      </c>
      <c r="E412" s="5">
        <v>4.51</v>
      </c>
      <c r="F412" s="4">
        <v>48</v>
      </c>
      <c r="G412" s="5">
        <v>4.9400000000000004</v>
      </c>
      <c r="H412" s="4">
        <v>0</v>
      </c>
    </row>
    <row r="413" spans="1:8" x14ac:dyDescent="0.2">
      <c r="A413" s="2" t="s">
        <v>84</v>
      </c>
      <c r="B413" s="4">
        <v>151</v>
      </c>
      <c r="C413" s="5">
        <v>7.71</v>
      </c>
      <c r="D413" s="4">
        <v>121</v>
      </c>
      <c r="E413" s="5">
        <v>12.41</v>
      </c>
      <c r="F413" s="4">
        <v>30</v>
      </c>
      <c r="G413" s="5">
        <v>3.09</v>
      </c>
      <c r="H413" s="4">
        <v>0</v>
      </c>
    </row>
    <row r="414" spans="1:8" x14ac:dyDescent="0.2">
      <c r="A414" s="2" t="s">
        <v>85</v>
      </c>
      <c r="B414" s="4">
        <v>301</v>
      </c>
      <c r="C414" s="5">
        <v>15.36</v>
      </c>
      <c r="D414" s="4">
        <v>233</v>
      </c>
      <c r="E414" s="5">
        <v>23.9</v>
      </c>
      <c r="F414" s="4">
        <v>68</v>
      </c>
      <c r="G414" s="5">
        <v>7</v>
      </c>
      <c r="H414" s="4">
        <v>0</v>
      </c>
    </row>
    <row r="415" spans="1:8" x14ac:dyDescent="0.2">
      <c r="A415" s="2" t="s">
        <v>86</v>
      </c>
      <c r="B415" s="4">
        <v>77</v>
      </c>
      <c r="C415" s="5">
        <v>3.93</v>
      </c>
      <c r="D415" s="4">
        <v>59</v>
      </c>
      <c r="E415" s="5">
        <v>6.05</v>
      </c>
      <c r="F415" s="4">
        <v>18</v>
      </c>
      <c r="G415" s="5">
        <v>1.85</v>
      </c>
      <c r="H415" s="4">
        <v>0</v>
      </c>
    </row>
    <row r="416" spans="1:8" x14ac:dyDescent="0.2">
      <c r="A416" s="2" t="s">
        <v>87</v>
      </c>
      <c r="B416" s="4">
        <v>125</v>
      </c>
      <c r="C416" s="5">
        <v>6.38</v>
      </c>
      <c r="D416" s="4">
        <v>62</v>
      </c>
      <c r="E416" s="5">
        <v>6.36</v>
      </c>
      <c r="F416" s="4">
        <v>54</v>
      </c>
      <c r="G416" s="5">
        <v>5.56</v>
      </c>
      <c r="H416" s="4">
        <v>0</v>
      </c>
    </row>
    <row r="417" spans="1:8" x14ac:dyDescent="0.2">
      <c r="A417" s="2" t="s">
        <v>88</v>
      </c>
      <c r="B417" s="4">
        <v>79</v>
      </c>
      <c r="C417" s="5">
        <v>4.03</v>
      </c>
      <c r="D417" s="4">
        <v>27</v>
      </c>
      <c r="E417" s="5">
        <v>2.77</v>
      </c>
      <c r="F417" s="4">
        <v>50</v>
      </c>
      <c r="G417" s="5">
        <v>5.14</v>
      </c>
      <c r="H417" s="4">
        <v>0</v>
      </c>
    </row>
    <row r="418" spans="1:8" x14ac:dyDescent="0.2">
      <c r="A418" s="1" t="s">
        <v>26</v>
      </c>
      <c r="B418" s="4">
        <v>2915</v>
      </c>
      <c r="C418" s="5">
        <v>100.00999999999999</v>
      </c>
      <c r="D418" s="4">
        <v>1593</v>
      </c>
      <c r="E418" s="5">
        <v>100</v>
      </c>
      <c r="F418" s="4">
        <v>1306</v>
      </c>
      <c r="G418" s="5">
        <v>99.990000000000009</v>
      </c>
      <c r="H418" s="4">
        <v>3</v>
      </c>
    </row>
    <row r="419" spans="1:8" x14ac:dyDescent="0.2">
      <c r="A419" s="2" t="s">
        <v>74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2">
      <c r="A420" s="2" t="s">
        <v>75</v>
      </c>
      <c r="B420" s="4">
        <v>495</v>
      </c>
      <c r="C420" s="5">
        <v>16.98</v>
      </c>
      <c r="D420" s="4">
        <v>213</v>
      </c>
      <c r="E420" s="5">
        <v>13.37</v>
      </c>
      <c r="F420" s="4">
        <v>282</v>
      </c>
      <c r="G420" s="5">
        <v>21.59</v>
      </c>
      <c r="H420" s="4">
        <v>0</v>
      </c>
    </row>
    <row r="421" spans="1:8" x14ac:dyDescent="0.2">
      <c r="A421" s="2" t="s">
        <v>76</v>
      </c>
      <c r="B421" s="4">
        <v>280</v>
      </c>
      <c r="C421" s="5">
        <v>9.61</v>
      </c>
      <c r="D421" s="4">
        <v>115</v>
      </c>
      <c r="E421" s="5">
        <v>7.22</v>
      </c>
      <c r="F421" s="4">
        <v>165</v>
      </c>
      <c r="G421" s="5">
        <v>12.63</v>
      </c>
      <c r="H421" s="4">
        <v>0</v>
      </c>
    </row>
    <row r="422" spans="1:8" x14ac:dyDescent="0.2">
      <c r="A422" s="2" t="s">
        <v>77</v>
      </c>
      <c r="B422" s="4">
        <v>13</v>
      </c>
      <c r="C422" s="5">
        <v>0.45</v>
      </c>
      <c r="D422" s="4">
        <v>0</v>
      </c>
      <c r="E422" s="5">
        <v>0</v>
      </c>
      <c r="F422" s="4">
        <v>13</v>
      </c>
      <c r="G422" s="5">
        <v>1</v>
      </c>
      <c r="H422" s="4">
        <v>0</v>
      </c>
    </row>
    <row r="423" spans="1:8" x14ac:dyDescent="0.2">
      <c r="A423" s="2" t="s">
        <v>78</v>
      </c>
      <c r="B423" s="4">
        <v>9</v>
      </c>
      <c r="C423" s="5">
        <v>0.31</v>
      </c>
      <c r="D423" s="4">
        <v>1</v>
      </c>
      <c r="E423" s="5">
        <v>0.06</v>
      </c>
      <c r="F423" s="4">
        <v>8</v>
      </c>
      <c r="G423" s="5">
        <v>0.61</v>
      </c>
      <c r="H423" s="4">
        <v>0</v>
      </c>
    </row>
    <row r="424" spans="1:8" x14ac:dyDescent="0.2">
      <c r="A424" s="2" t="s">
        <v>79</v>
      </c>
      <c r="B424" s="4">
        <v>35</v>
      </c>
      <c r="C424" s="5">
        <v>1.2</v>
      </c>
      <c r="D424" s="4">
        <v>2</v>
      </c>
      <c r="E424" s="5">
        <v>0.13</v>
      </c>
      <c r="F424" s="4">
        <v>33</v>
      </c>
      <c r="G424" s="5">
        <v>2.5299999999999998</v>
      </c>
      <c r="H424" s="4">
        <v>0</v>
      </c>
    </row>
    <row r="425" spans="1:8" x14ac:dyDescent="0.2">
      <c r="A425" s="2" t="s">
        <v>80</v>
      </c>
      <c r="B425" s="4">
        <v>648</v>
      </c>
      <c r="C425" s="5">
        <v>22.23</v>
      </c>
      <c r="D425" s="4">
        <v>320</v>
      </c>
      <c r="E425" s="5">
        <v>20.09</v>
      </c>
      <c r="F425" s="4">
        <v>328</v>
      </c>
      <c r="G425" s="5">
        <v>25.11</v>
      </c>
      <c r="H425" s="4">
        <v>0</v>
      </c>
    </row>
    <row r="426" spans="1:8" x14ac:dyDescent="0.2">
      <c r="A426" s="2" t="s">
        <v>81</v>
      </c>
      <c r="B426" s="4">
        <v>11</v>
      </c>
      <c r="C426" s="5">
        <v>0.38</v>
      </c>
      <c r="D426" s="4">
        <v>6</v>
      </c>
      <c r="E426" s="5">
        <v>0.38</v>
      </c>
      <c r="F426" s="4">
        <v>5</v>
      </c>
      <c r="G426" s="5">
        <v>0.38</v>
      </c>
      <c r="H426" s="4">
        <v>0</v>
      </c>
    </row>
    <row r="427" spans="1:8" x14ac:dyDescent="0.2">
      <c r="A427" s="2" t="s">
        <v>82</v>
      </c>
      <c r="B427" s="4">
        <v>207</v>
      </c>
      <c r="C427" s="5">
        <v>7.1</v>
      </c>
      <c r="D427" s="4">
        <v>68</v>
      </c>
      <c r="E427" s="5">
        <v>4.2699999999999996</v>
      </c>
      <c r="F427" s="4">
        <v>139</v>
      </c>
      <c r="G427" s="5">
        <v>10.64</v>
      </c>
      <c r="H427" s="4">
        <v>0</v>
      </c>
    </row>
    <row r="428" spans="1:8" x14ac:dyDescent="0.2">
      <c r="A428" s="2" t="s">
        <v>83</v>
      </c>
      <c r="B428" s="4">
        <v>123</v>
      </c>
      <c r="C428" s="5">
        <v>4.22</v>
      </c>
      <c r="D428" s="4">
        <v>63</v>
      </c>
      <c r="E428" s="5">
        <v>3.95</v>
      </c>
      <c r="F428" s="4">
        <v>60</v>
      </c>
      <c r="G428" s="5">
        <v>4.59</v>
      </c>
      <c r="H428" s="4">
        <v>0</v>
      </c>
    </row>
    <row r="429" spans="1:8" x14ac:dyDescent="0.2">
      <c r="A429" s="2" t="s">
        <v>84</v>
      </c>
      <c r="B429" s="4">
        <v>307</v>
      </c>
      <c r="C429" s="5">
        <v>10.53</v>
      </c>
      <c r="D429" s="4">
        <v>250</v>
      </c>
      <c r="E429" s="5">
        <v>15.69</v>
      </c>
      <c r="F429" s="4">
        <v>56</v>
      </c>
      <c r="G429" s="5">
        <v>4.29</v>
      </c>
      <c r="H429" s="4">
        <v>0</v>
      </c>
    </row>
    <row r="430" spans="1:8" x14ac:dyDescent="0.2">
      <c r="A430" s="2" t="s">
        <v>85</v>
      </c>
      <c r="B430" s="4">
        <v>392</v>
      </c>
      <c r="C430" s="5">
        <v>13.45</v>
      </c>
      <c r="D430" s="4">
        <v>310</v>
      </c>
      <c r="E430" s="5">
        <v>19.46</v>
      </c>
      <c r="F430" s="4">
        <v>80</v>
      </c>
      <c r="G430" s="5">
        <v>6.13</v>
      </c>
      <c r="H430" s="4">
        <v>2</v>
      </c>
    </row>
    <row r="431" spans="1:8" x14ac:dyDescent="0.2">
      <c r="A431" s="2" t="s">
        <v>86</v>
      </c>
      <c r="B431" s="4">
        <v>104</v>
      </c>
      <c r="C431" s="5">
        <v>3.57</v>
      </c>
      <c r="D431" s="4">
        <v>70</v>
      </c>
      <c r="E431" s="5">
        <v>4.3899999999999997</v>
      </c>
      <c r="F431" s="4">
        <v>26</v>
      </c>
      <c r="G431" s="5">
        <v>1.99</v>
      </c>
      <c r="H431" s="4">
        <v>0</v>
      </c>
    </row>
    <row r="432" spans="1:8" x14ac:dyDescent="0.2">
      <c r="A432" s="2" t="s">
        <v>87</v>
      </c>
      <c r="B432" s="4">
        <v>161</v>
      </c>
      <c r="C432" s="5">
        <v>5.52</v>
      </c>
      <c r="D432" s="4">
        <v>104</v>
      </c>
      <c r="E432" s="5">
        <v>6.53</v>
      </c>
      <c r="F432" s="4">
        <v>53</v>
      </c>
      <c r="G432" s="5">
        <v>4.0599999999999996</v>
      </c>
      <c r="H432" s="4">
        <v>1</v>
      </c>
    </row>
    <row r="433" spans="1:8" x14ac:dyDescent="0.2">
      <c r="A433" s="2" t="s">
        <v>88</v>
      </c>
      <c r="B433" s="4">
        <v>130</v>
      </c>
      <c r="C433" s="5">
        <v>4.46</v>
      </c>
      <c r="D433" s="4">
        <v>71</v>
      </c>
      <c r="E433" s="5">
        <v>4.46</v>
      </c>
      <c r="F433" s="4">
        <v>58</v>
      </c>
      <c r="G433" s="5">
        <v>4.4400000000000004</v>
      </c>
      <c r="H433" s="4">
        <v>0</v>
      </c>
    </row>
    <row r="434" spans="1:8" x14ac:dyDescent="0.2">
      <c r="A434" s="1" t="s">
        <v>27</v>
      </c>
      <c r="B434" s="4">
        <v>3553</v>
      </c>
      <c r="C434" s="5">
        <v>99.99</v>
      </c>
      <c r="D434" s="4">
        <v>1560</v>
      </c>
      <c r="E434" s="5">
        <v>99.999999999999986</v>
      </c>
      <c r="F434" s="4">
        <v>1984</v>
      </c>
      <c r="G434" s="5">
        <v>100.01000000000002</v>
      </c>
      <c r="H434" s="4">
        <v>0</v>
      </c>
    </row>
    <row r="435" spans="1:8" x14ac:dyDescent="0.2">
      <c r="A435" s="2" t="s">
        <v>74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2">
      <c r="A436" s="2" t="s">
        <v>75</v>
      </c>
      <c r="B436" s="4">
        <v>505</v>
      </c>
      <c r="C436" s="5">
        <v>14.21</v>
      </c>
      <c r="D436" s="4">
        <v>95</v>
      </c>
      <c r="E436" s="5">
        <v>6.09</v>
      </c>
      <c r="F436" s="4">
        <v>410</v>
      </c>
      <c r="G436" s="5">
        <v>20.67</v>
      </c>
      <c r="H436" s="4">
        <v>0</v>
      </c>
    </row>
    <row r="437" spans="1:8" x14ac:dyDescent="0.2">
      <c r="A437" s="2" t="s">
        <v>76</v>
      </c>
      <c r="B437" s="4">
        <v>292</v>
      </c>
      <c r="C437" s="5">
        <v>8.2200000000000006</v>
      </c>
      <c r="D437" s="4">
        <v>64</v>
      </c>
      <c r="E437" s="5">
        <v>4.0999999999999996</v>
      </c>
      <c r="F437" s="4">
        <v>228</v>
      </c>
      <c r="G437" s="5">
        <v>11.49</v>
      </c>
      <c r="H437" s="4">
        <v>0</v>
      </c>
    </row>
    <row r="438" spans="1:8" x14ac:dyDescent="0.2">
      <c r="A438" s="2" t="s">
        <v>77</v>
      </c>
      <c r="B438" s="4">
        <v>1</v>
      </c>
      <c r="C438" s="5">
        <v>0.03</v>
      </c>
      <c r="D438" s="4">
        <v>0</v>
      </c>
      <c r="E438" s="5">
        <v>0</v>
      </c>
      <c r="F438" s="4">
        <v>1</v>
      </c>
      <c r="G438" s="5">
        <v>0.05</v>
      </c>
      <c r="H438" s="4">
        <v>0</v>
      </c>
    </row>
    <row r="439" spans="1:8" x14ac:dyDescent="0.2">
      <c r="A439" s="2" t="s">
        <v>78</v>
      </c>
      <c r="B439" s="4">
        <v>41</v>
      </c>
      <c r="C439" s="5">
        <v>1.1499999999999999</v>
      </c>
      <c r="D439" s="4">
        <v>3</v>
      </c>
      <c r="E439" s="5">
        <v>0.19</v>
      </c>
      <c r="F439" s="4">
        <v>38</v>
      </c>
      <c r="G439" s="5">
        <v>1.92</v>
      </c>
      <c r="H439" s="4">
        <v>0</v>
      </c>
    </row>
    <row r="440" spans="1:8" x14ac:dyDescent="0.2">
      <c r="A440" s="2" t="s">
        <v>79</v>
      </c>
      <c r="B440" s="4">
        <v>32</v>
      </c>
      <c r="C440" s="5">
        <v>0.9</v>
      </c>
      <c r="D440" s="4">
        <v>2</v>
      </c>
      <c r="E440" s="5">
        <v>0.13</v>
      </c>
      <c r="F440" s="4">
        <v>30</v>
      </c>
      <c r="G440" s="5">
        <v>1.51</v>
      </c>
      <c r="H440" s="4">
        <v>0</v>
      </c>
    </row>
    <row r="441" spans="1:8" x14ac:dyDescent="0.2">
      <c r="A441" s="2" t="s">
        <v>80</v>
      </c>
      <c r="B441" s="4">
        <v>607</v>
      </c>
      <c r="C441" s="5">
        <v>17.079999999999998</v>
      </c>
      <c r="D441" s="4">
        <v>194</v>
      </c>
      <c r="E441" s="5">
        <v>12.44</v>
      </c>
      <c r="F441" s="4">
        <v>413</v>
      </c>
      <c r="G441" s="5">
        <v>20.82</v>
      </c>
      <c r="H441" s="4">
        <v>0</v>
      </c>
    </row>
    <row r="442" spans="1:8" x14ac:dyDescent="0.2">
      <c r="A442" s="2" t="s">
        <v>81</v>
      </c>
      <c r="B442" s="4">
        <v>18</v>
      </c>
      <c r="C442" s="5">
        <v>0.51</v>
      </c>
      <c r="D442" s="4">
        <v>1</v>
      </c>
      <c r="E442" s="5">
        <v>0.06</v>
      </c>
      <c r="F442" s="4">
        <v>17</v>
      </c>
      <c r="G442" s="5">
        <v>0.86</v>
      </c>
      <c r="H442" s="4">
        <v>0</v>
      </c>
    </row>
    <row r="443" spans="1:8" x14ac:dyDescent="0.2">
      <c r="A443" s="2" t="s">
        <v>82</v>
      </c>
      <c r="B443" s="4">
        <v>461</v>
      </c>
      <c r="C443" s="5">
        <v>12.97</v>
      </c>
      <c r="D443" s="4">
        <v>137</v>
      </c>
      <c r="E443" s="5">
        <v>8.7799999999999994</v>
      </c>
      <c r="F443" s="4">
        <v>324</v>
      </c>
      <c r="G443" s="5">
        <v>16.329999999999998</v>
      </c>
      <c r="H443" s="4">
        <v>0</v>
      </c>
    </row>
    <row r="444" spans="1:8" x14ac:dyDescent="0.2">
      <c r="A444" s="2" t="s">
        <v>83</v>
      </c>
      <c r="B444" s="4">
        <v>204</v>
      </c>
      <c r="C444" s="5">
        <v>5.74</v>
      </c>
      <c r="D444" s="4">
        <v>97</v>
      </c>
      <c r="E444" s="5">
        <v>6.22</v>
      </c>
      <c r="F444" s="4">
        <v>107</v>
      </c>
      <c r="G444" s="5">
        <v>5.39</v>
      </c>
      <c r="H444" s="4">
        <v>0</v>
      </c>
    </row>
    <row r="445" spans="1:8" x14ac:dyDescent="0.2">
      <c r="A445" s="2" t="s">
        <v>84</v>
      </c>
      <c r="B445" s="4">
        <v>356</v>
      </c>
      <c r="C445" s="5">
        <v>10.02</v>
      </c>
      <c r="D445" s="4">
        <v>283</v>
      </c>
      <c r="E445" s="5">
        <v>18.14</v>
      </c>
      <c r="F445" s="4">
        <v>73</v>
      </c>
      <c r="G445" s="5">
        <v>3.68</v>
      </c>
      <c r="H445" s="4">
        <v>0</v>
      </c>
    </row>
    <row r="446" spans="1:8" x14ac:dyDescent="0.2">
      <c r="A446" s="2" t="s">
        <v>85</v>
      </c>
      <c r="B446" s="4">
        <v>467</v>
      </c>
      <c r="C446" s="5">
        <v>13.14</v>
      </c>
      <c r="D446" s="4">
        <v>336</v>
      </c>
      <c r="E446" s="5">
        <v>21.54</v>
      </c>
      <c r="F446" s="4">
        <v>131</v>
      </c>
      <c r="G446" s="5">
        <v>6.6</v>
      </c>
      <c r="H446" s="4">
        <v>0</v>
      </c>
    </row>
    <row r="447" spans="1:8" x14ac:dyDescent="0.2">
      <c r="A447" s="2" t="s">
        <v>86</v>
      </c>
      <c r="B447" s="4">
        <v>217</v>
      </c>
      <c r="C447" s="5">
        <v>6.11</v>
      </c>
      <c r="D447" s="4">
        <v>168</v>
      </c>
      <c r="E447" s="5">
        <v>10.77</v>
      </c>
      <c r="F447" s="4">
        <v>43</v>
      </c>
      <c r="G447" s="5">
        <v>2.17</v>
      </c>
      <c r="H447" s="4">
        <v>0</v>
      </c>
    </row>
    <row r="448" spans="1:8" x14ac:dyDescent="0.2">
      <c r="A448" s="2" t="s">
        <v>87</v>
      </c>
      <c r="B448" s="4">
        <v>202</v>
      </c>
      <c r="C448" s="5">
        <v>5.69</v>
      </c>
      <c r="D448" s="4">
        <v>139</v>
      </c>
      <c r="E448" s="5">
        <v>8.91</v>
      </c>
      <c r="F448" s="4">
        <v>63</v>
      </c>
      <c r="G448" s="5">
        <v>3.18</v>
      </c>
      <c r="H448" s="4">
        <v>0</v>
      </c>
    </row>
    <row r="449" spans="1:8" x14ac:dyDescent="0.2">
      <c r="A449" s="2" t="s">
        <v>88</v>
      </c>
      <c r="B449" s="4">
        <v>150</v>
      </c>
      <c r="C449" s="5">
        <v>4.22</v>
      </c>
      <c r="D449" s="4">
        <v>41</v>
      </c>
      <c r="E449" s="5">
        <v>2.63</v>
      </c>
      <c r="F449" s="4">
        <v>106</v>
      </c>
      <c r="G449" s="5">
        <v>5.34</v>
      </c>
      <c r="H449" s="4">
        <v>0</v>
      </c>
    </row>
    <row r="450" spans="1:8" x14ac:dyDescent="0.2">
      <c r="A450" s="1" t="s">
        <v>28</v>
      </c>
      <c r="B450" s="4">
        <v>4254</v>
      </c>
      <c r="C450" s="5">
        <v>99.98</v>
      </c>
      <c r="D450" s="4">
        <v>1601</v>
      </c>
      <c r="E450" s="5">
        <v>100</v>
      </c>
      <c r="F450" s="4">
        <v>2638</v>
      </c>
      <c r="G450" s="5">
        <v>100.01000000000002</v>
      </c>
      <c r="H450" s="4">
        <v>7</v>
      </c>
    </row>
    <row r="451" spans="1:8" x14ac:dyDescent="0.2">
      <c r="A451" s="2" t="s">
        <v>74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2">
      <c r="A452" s="2" t="s">
        <v>75</v>
      </c>
      <c r="B452" s="4">
        <v>657</v>
      </c>
      <c r="C452" s="5">
        <v>15.44</v>
      </c>
      <c r="D452" s="4">
        <v>81</v>
      </c>
      <c r="E452" s="5">
        <v>5.0599999999999996</v>
      </c>
      <c r="F452" s="4">
        <v>575</v>
      </c>
      <c r="G452" s="5">
        <v>21.8</v>
      </c>
      <c r="H452" s="4">
        <v>1</v>
      </c>
    </row>
    <row r="453" spans="1:8" x14ac:dyDescent="0.2">
      <c r="A453" s="2" t="s">
        <v>76</v>
      </c>
      <c r="B453" s="4">
        <v>714</v>
      </c>
      <c r="C453" s="5">
        <v>16.78</v>
      </c>
      <c r="D453" s="4">
        <v>199</v>
      </c>
      <c r="E453" s="5">
        <v>12.43</v>
      </c>
      <c r="F453" s="4">
        <v>515</v>
      </c>
      <c r="G453" s="5">
        <v>19.52</v>
      </c>
      <c r="H453" s="4">
        <v>0</v>
      </c>
    </row>
    <row r="454" spans="1:8" x14ac:dyDescent="0.2">
      <c r="A454" s="2" t="s">
        <v>77</v>
      </c>
      <c r="B454" s="4">
        <v>1</v>
      </c>
      <c r="C454" s="5">
        <v>0.02</v>
      </c>
      <c r="D454" s="4">
        <v>0</v>
      </c>
      <c r="E454" s="5">
        <v>0</v>
      </c>
      <c r="F454" s="4">
        <v>1</v>
      </c>
      <c r="G454" s="5">
        <v>0.04</v>
      </c>
      <c r="H454" s="4">
        <v>0</v>
      </c>
    </row>
    <row r="455" spans="1:8" x14ac:dyDescent="0.2">
      <c r="A455" s="2" t="s">
        <v>78</v>
      </c>
      <c r="B455" s="4">
        <v>45</v>
      </c>
      <c r="C455" s="5">
        <v>1.06</v>
      </c>
      <c r="D455" s="4">
        <v>0</v>
      </c>
      <c r="E455" s="5">
        <v>0</v>
      </c>
      <c r="F455" s="4">
        <v>45</v>
      </c>
      <c r="G455" s="5">
        <v>1.71</v>
      </c>
      <c r="H455" s="4">
        <v>0</v>
      </c>
    </row>
    <row r="456" spans="1:8" x14ac:dyDescent="0.2">
      <c r="A456" s="2" t="s">
        <v>79</v>
      </c>
      <c r="B456" s="4">
        <v>52</v>
      </c>
      <c r="C456" s="5">
        <v>1.22</v>
      </c>
      <c r="D456" s="4">
        <v>4</v>
      </c>
      <c r="E456" s="5">
        <v>0.25</v>
      </c>
      <c r="F456" s="4">
        <v>48</v>
      </c>
      <c r="G456" s="5">
        <v>1.82</v>
      </c>
      <c r="H456" s="4">
        <v>0</v>
      </c>
    </row>
    <row r="457" spans="1:8" x14ac:dyDescent="0.2">
      <c r="A457" s="2" t="s">
        <v>80</v>
      </c>
      <c r="B457" s="4">
        <v>746</v>
      </c>
      <c r="C457" s="5">
        <v>17.54</v>
      </c>
      <c r="D457" s="4">
        <v>249</v>
      </c>
      <c r="E457" s="5">
        <v>15.55</v>
      </c>
      <c r="F457" s="4">
        <v>497</v>
      </c>
      <c r="G457" s="5">
        <v>18.84</v>
      </c>
      <c r="H457" s="4">
        <v>0</v>
      </c>
    </row>
    <row r="458" spans="1:8" x14ac:dyDescent="0.2">
      <c r="A458" s="2" t="s">
        <v>81</v>
      </c>
      <c r="B458" s="4">
        <v>25</v>
      </c>
      <c r="C458" s="5">
        <v>0.59</v>
      </c>
      <c r="D458" s="4">
        <v>5</v>
      </c>
      <c r="E458" s="5">
        <v>0.31</v>
      </c>
      <c r="F458" s="4">
        <v>20</v>
      </c>
      <c r="G458" s="5">
        <v>0.76</v>
      </c>
      <c r="H458" s="4">
        <v>0</v>
      </c>
    </row>
    <row r="459" spans="1:8" x14ac:dyDescent="0.2">
      <c r="A459" s="2" t="s">
        <v>82</v>
      </c>
      <c r="B459" s="4">
        <v>444</v>
      </c>
      <c r="C459" s="5">
        <v>10.44</v>
      </c>
      <c r="D459" s="4">
        <v>91</v>
      </c>
      <c r="E459" s="5">
        <v>5.68</v>
      </c>
      <c r="F459" s="4">
        <v>351</v>
      </c>
      <c r="G459" s="5">
        <v>13.31</v>
      </c>
      <c r="H459" s="4">
        <v>2</v>
      </c>
    </row>
    <row r="460" spans="1:8" x14ac:dyDescent="0.2">
      <c r="A460" s="2" t="s">
        <v>83</v>
      </c>
      <c r="B460" s="4">
        <v>181</v>
      </c>
      <c r="C460" s="5">
        <v>4.25</v>
      </c>
      <c r="D460" s="4">
        <v>61</v>
      </c>
      <c r="E460" s="5">
        <v>3.81</v>
      </c>
      <c r="F460" s="4">
        <v>120</v>
      </c>
      <c r="G460" s="5">
        <v>4.55</v>
      </c>
      <c r="H460" s="4">
        <v>0</v>
      </c>
    </row>
    <row r="461" spans="1:8" x14ac:dyDescent="0.2">
      <c r="A461" s="2" t="s">
        <v>84</v>
      </c>
      <c r="B461" s="4">
        <v>417</v>
      </c>
      <c r="C461" s="5">
        <v>9.8000000000000007</v>
      </c>
      <c r="D461" s="4">
        <v>328</v>
      </c>
      <c r="E461" s="5">
        <v>20.49</v>
      </c>
      <c r="F461" s="4">
        <v>88</v>
      </c>
      <c r="G461" s="5">
        <v>3.34</v>
      </c>
      <c r="H461" s="4">
        <v>1</v>
      </c>
    </row>
    <row r="462" spans="1:8" x14ac:dyDescent="0.2">
      <c r="A462" s="2" t="s">
        <v>85</v>
      </c>
      <c r="B462" s="4">
        <v>470</v>
      </c>
      <c r="C462" s="5">
        <v>11.05</v>
      </c>
      <c r="D462" s="4">
        <v>329</v>
      </c>
      <c r="E462" s="5">
        <v>20.55</v>
      </c>
      <c r="F462" s="4">
        <v>141</v>
      </c>
      <c r="G462" s="5">
        <v>5.34</v>
      </c>
      <c r="H462" s="4">
        <v>0</v>
      </c>
    </row>
    <row r="463" spans="1:8" x14ac:dyDescent="0.2">
      <c r="A463" s="2" t="s">
        <v>86</v>
      </c>
      <c r="B463" s="4">
        <v>149</v>
      </c>
      <c r="C463" s="5">
        <v>3.5</v>
      </c>
      <c r="D463" s="4">
        <v>94</v>
      </c>
      <c r="E463" s="5">
        <v>5.87</v>
      </c>
      <c r="F463" s="4">
        <v>52</v>
      </c>
      <c r="G463" s="5">
        <v>1.97</v>
      </c>
      <c r="H463" s="4">
        <v>0</v>
      </c>
    </row>
    <row r="464" spans="1:8" x14ac:dyDescent="0.2">
      <c r="A464" s="2" t="s">
        <v>87</v>
      </c>
      <c r="B464" s="4">
        <v>192</v>
      </c>
      <c r="C464" s="5">
        <v>4.51</v>
      </c>
      <c r="D464" s="4">
        <v>125</v>
      </c>
      <c r="E464" s="5">
        <v>7.81</v>
      </c>
      <c r="F464" s="4">
        <v>66</v>
      </c>
      <c r="G464" s="5">
        <v>2.5</v>
      </c>
      <c r="H464" s="4">
        <v>0</v>
      </c>
    </row>
    <row r="465" spans="1:8" x14ac:dyDescent="0.2">
      <c r="A465" s="2" t="s">
        <v>88</v>
      </c>
      <c r="B465" s="4">
        <v>161</v>
      </c>
      <c r="C465" s="5">
        <v>3.78</v>
      </c>
      <c r="D465" s="4">
        <v>35</v>
      </c>
      <c r="E465" s="5">
        <v>2.19</v>
      </c>
      <c r="F465" s="4">
        <v>119</v>
      </c>
      <c r="G465" s="5">
        <v>4.51</v>
      </c>
      <c r="H465" s="4">
        <v>3</v>
      </c>
    </row>
    <row r="466" spans="1:8" x14ac:dyDescent="0.2">
      <c r="A466" s="1" t="s">
        <v>29</v>
      </c>
      <c r="B466" s="4">
        <v>5779</v>
      </c>
      <c r="C466" s="5">
        <v>100</v>
      </c>
      <c r="D466" s="4">
        <v>2531</v>
      </c>
      <c r="E466" s="5">
        <v>100.01</v>
      </c>
      <c r="F466" s="4">
        <v>3234</v>
      </c>
      <c r="G466" s="5">
        <v>100.01</v>
      </c>
      <c r="H466" s="4">
        <v>3</v>
      </c>
    </row>
    <row r="467" spans="1:8" x14ac:dyDescent="0.2">
      <c r="A467" s="2" t="s">
        <v>74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2">
      <c r="A468" s="2" t="s">
        <v>75</v>
      </c>
      <c r="B468" s="4">
        <v>799</v>
      </c>
      <c r="C468" s="5">
        <v>13.83</v>
      </c>
      <c r="D468" s="4">
        <v>134</v>
      </c>
      <c r="E468" s="5">
        <v>5.29</v>
      </c>
      <c r="F468" s="4">
        <v>665</v>
      </c>
      <c r="G468" s="5">
        <v>20.56</v>
      </c>
      <c r="H468" s="4">
        <v>0</v>
      </c>
    </row>
    <row r="469" spans="1:8" x14ac:dyDescent="0.2">
      <c r="A469" s="2" t="s">
        <v>76</v>
      </c>
      <c r="B469" s="4">
        <v>615</v>
      </c>
      <c r="C469" s="5">
        <v>10.64</v>
      </c>
      <c r="D469" s="4">
        <v>185</v>
      </c>
      <c r="E469" s="5">
        <v>7.31</v>
      </c>
      <c r="F469" s="4">
        <v>430</v>
      </c>
      <c r="G469" s="5">
        <v>13.3</v>
      </c>
      <c r="H469" s="4">
        <v>0</v>
      </c>
    </row>
    <row r="470" spans="1:8" x14ac:dyDescent="0.2">
      <c r="A470" s="2" t="s">
        <v>77</v>
      </c>
      <c r="B470" s="4">
        <v>4</v>
      </c>
      <c r="C470" s="5">
        <v>7.0000000000000007E-2</v>
      </c>
      <c r="D470" s="4">
        <v>0</v>
      </c>
      <c r="E470" s="5">
        <v>0</v>
      </c>
      <c r="F470" s="4">
        <v>4</v>
      </c>
      <c r="G470" s="5">
        <v>0.12</v>
      </c>
      <c r="H470" s="4">
        <v>0</v>
      </c>
    </row>
    <row r="471" spans="1:8" x14ac:dyDescent="0.2">
      <c r="A471" s="2" t="s">
        <v>78</v>
      </c>
      <c r="B471" s="4">
        <v>71</v>
      </c>
      <c r="C471" s="5">
        <v>1.23</v>
      </c>
      <c r="D471" s="4">
        <v>0</v>
      </c>
      <c r="E471" s="5">
        <v>0</v>
      </c>
      <c r="F471" s="4">
        <v>71</v>
      </c>
      <c r="G471" s="5">
        <v>2.2000000000000002</v>
      </c>
      <c r="H471" s="4">
        <v>0</v>
      </c>
    </row>
    <row r="472" spans="1:8" x14ac:dyDescent="0.2">
      <c r="A472" s="2" t="s">
        <v>79</v>
      </c>
      <c r="B472" s="4">
        <v>69</v>
      </c>
      <c r="C472" s="5">
        <v>1.19</v>
      </c>
      <c r="D472" s="4">
        <v>9</v>
      </c>
      <c r="E472" s="5">
        <v>0.36</v>
      </c>
      <c r="F472" s="4">
        <v>60</v>
      </c>
      <c r="G472" s="5">
        <v>1.86</v>
      </c>
      <c r="H472" s="4">
        <v>0</v>
      </c>
    </row>
    <row r="473" spans="1:8" x14ac:dyDescent="0.2">
      <c r="A473" s="2" t="s">
        <v>80</v>
      </c>
      <c r="B473" s="4">
        <v>1255</v>
      </c>
      <c r="C473" s="5">
        <v>21.72</v>
      </c>
      <c r="D473" s="4">
        <v>434</v>
      </c>
      <c r="E473" s="5">
        <v>17.149999999999999</v>
      </c>
      <c r="F473" s="4">
        <v>821</v>
      </c>
      <c r="G473" s="5">
        <v>25.39</v>
      </c>
      <c r="H473" s="4">
        <v>0</v>
      </c>
    </row>
    <row r="474" spans="1:8" x14ac:dyDescent="0.2">
      <c r="A474" s="2" t="s">
        <v>81</v>
      </c>
      <c r="B474" s="4">
        <v>32</v>
      </c>
      <c r="C474" s="5">
        <v>0.55000000000000004</v>
      </c>
      <c r="D474" s="4">
        <v>5</v>
      </c>
      <c r="E474" s="5">
        <v>0.2</v>
      </c>
      <c r="F474" s="4">
        <v>27</v>
      </c>
      <c r="G474" s="5">
        <v>0.83</v>
      </c>
      <c r="H474" s="4">
        <v>0</v>
      </c>
    </row>
    <row r="475" spans="1:8" x14ac:dyDescent="0.2">
      <c r="A475" s="2" t="s">
        <v>82</v>
      </c>
      <c r="B475" s="4">
        <v>510</v>
      </c>
      <c r="C475" s="5">
        <v>8.83</v>
      </c>
      <c r="D475" s="4">
        <v>100</v>
      </c>
      <c r="E475" s="5">
        <v>3.95</v>
      </c>
      <c r="F475" s="4">
        <v>408</v>
      </c>
      <c r="G475" s="5">
        <v>12.62</v>
      </c>
      <c r="H475" s="4">
        <v>2</v>
      </c>
    </row>
    <row r="476" spans="1:8" x14ac:dyDescent="0.2">
      <c r="A476" s="2" t="s">
        <v>83</v>
      </c>
      <c r="B476" s="4">
        <v>285</v>
      </c>
      <c r="C476" s="5">
        <v>4.93</v>
      </c>
      <c r="D476" s="4">
        <v>158</v>
      </c>
      <c r="E476" s="5">
        <v>6.24</v>
      </c>
      <c r="F476" s="4">
        <v>126</v>
      </c>
      <c r="G476" s="5">
        <v>3.9</v>
      </c>
      <c r="H476" s="4">
        <v>0</v>
      </c>
    </row>
    <row r="477" spans="1:8" x14ac:dyDescent="0.2">
      <c r="A477" s="2" t="s">
        <v>84</v>
      </c>
      <c r="B477" s="4">
        <v>634</v>
      </c>
      <c r="C477" s="5">
        <v>10.97</v>
      </c>
      <c r="D477" s="4">
        <v>515</v>
      </c>
      <c r="E477" s="5">
        <v>20.350000000000001</v>
      </c>
      <c r="F477" s="4">
        <v>119</v>
      </c>
      <c r="G477" s="5">
        <v>3.68</v>
      </c>
      <c r="H477" s="4">
        <v>0</v>
      </c>
    </row>
    <row r="478" spans="1:8" x14ac:dyDescent="0.2">
      <c r="A478" s="2" t="s">
        <v>85</v>
      </c>
      <c r="B478" s="4">
        <v>781</v>
      </c>
      <c r="C478" s="5">
        <v>13.51</v>
      </c>
      <c r="D478" s="4">
        <v>561</v>
      </c>
      <c r="E478" s="5">
        <v>22.17</v>
      </c>
      <c r="F478" s="4">
        <v>216</v>
      </c>
      <c r="G478" s="5">
        <v>6.68</v>
      </c>
      <c r="H478" s="4">
        <v>0</v>
      </c>
    </row>
    <row r="479" spans="1:8" x14ac:dyDescent="0.2">
      <c r="A479" s="2" t="s">
        <v>86</v>
      </c>
      <c r="B479" s="4">
        <v>249</v>
      </c>
      <c r="C479" s="5">
        <v>4.3099999999999996</v>
      </c>
      <c r="D479" s="4">
        <v>179</v>
      </c>
      <c r="E479" s="5">
        <v>7.07</v>
      </c>
      <c r="F479" s="4">
        <v>68</v>
      </c>
      <c r="G479" s="5">
        <v>2.1</v>
      </c>
      <c r="H479" s="4">
        <v>0</v>
      </c>
    </row>
    <row r="480" spans="1:8" x14ac:dyDescent="0.2">
      <c r="A480" s="2" t="s">
        <v>87</v>
      </c>
      <c r="B480" s="4">
        <v>290</v>
      </c>
      <c r="C480" s="5">
        <v>5.0199999999999996</v>
      </c>
      <c r="D480" s="4">
        <v>200</v>
      </c>
      <c r="E480" s="5">
        <v>7.9</v>
      </c>
      <c r="F480" s="4">
        <v>86</v>
      </c>
      <c r="G480" s="5">
        <v>2.66</v>
      </c>
      <c r="H480" s="4">
        <v>0</v>
      </c>
    </row>
    <row r="481" spans="1:8" x14ac:dyDescent="0.2">
      <c r="A481" s="2" t="s">
        <v>88</v>
      </c>
      <c r="B481" s="4">
        <v>185</v>
      </c>
      <c r="C481" s="5">
        <v>3.2</v>
      </c>
      <c r="D481" s="4">
        <v>51</v>
      </c>
      <c r="E481" s="5">
        <v>2.02</v>
      </c>
      <c r="F481" s="4">
        <v>133</v>
      </c>
      <c r="G481" s="5">
        <v>4.1100000000000003</v>
      </c>
      <c r="H481" s="4">
        <v>1</v>
      </c>
    </row>
    <row r="482" spans="1:8" x14ac:dyDescent="0.2">
      <c r="A482" s="1" t="s">
        <v>30</v>
      </c>
      <c r="B482" s="4">
        <v>1543</v>
      </c>
      <c r="C482" s="5">
        <v>99.99</v>
      </c>
      <c r="D482" s="4">
        <v>706</v>
      </c>
      <c r="E482" s="5">
        <v>99.99</v>
      </c>
      <c r="F482" s="4">
        <v>827</v>
      </c>
      <c r="G482" s="5">
        <v>99.989999999999981</v>
      </c>
      <c r="H482" s="4">
        <v>0</v>
      </c>
    </row>
    <row r="483" spans="1:8" x14ac:dyDescent="0.2">
      <c r="A483" s="2" t="s">
        <v>74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2">
      <c r="A484" s="2" t="s">
        <v>75</v>
      </c>
      <c r="B484" s="4">
        <v>190</v>
      </c>
      <c r="C484" s="5">
        <v>12.31</v>
      </c>
      <c r="D484" s="4">
        <v>30</v>
      </c>
      <c r="E484" s="5">
        <v>4.25</v>
      </c>
      <c r="F484" s="4">
        <v>160</v>
      </c>
      <c r="G484" s="5">
        <v>19.350000000000001</v>
      </c>
      <c r="H484" s="4">
        <v>0</v>
      </c>
    </row>
    <row r="485" spans="1:8" x14ac:dyDescent="0.2">
      <c r="A485" s="2" t="s">
        <v>76</v>
      </c>
      <c r="B485" s="4">
        <v>116</v>
      </c>
      <c r="C485" s="5">
        <v>7.52</v>
      </c>
      <c r="D485" s="4">
        <v>27</v>
      </c>
      <c r="E485" s="5">
        <v>3.82</v>
      </c>
      <c r="F485" s="4">
        <v>89</v>
      </c>
      <c r="G485" s="5">
        <v>10.76</v>
      </c>
      <c r="H485" s="4">
        <v>0</v>
      </c>
    </row>
    <row r="486" spans="1:8" x14ac:dyDescent="0.2">
      <c r="A486" s="2" t="s">
        <v>77</v>
      </c>
      <c r="B486" s="4">
        <v>0</v>
      </c>
      <c r="C486" s="5">
        <v>0</v>
      </c>
      <c r="D486" s="4">
        <v>0</v>
      </c>
      <c r="E486" s="5">
        <v>0</v>
      </c>
      <c r="F486" s="4">
        <v>0</v>
      </c>
      <c r="G486" s="5">
        <v>0</v>
      </c>
      <c r="H486" s="4">
        <v>0</v>
      </c>
    </row>
    <row r="487" spans="1:8" x14ac:dyDescent="0.2">
      <c r="A487" s="2" t="s">
        <v>78</v>
      </c>
      <c r="B487" s="4">
        <v>24</v>
      </c>
      <c r="C487" s="5">
        <v>1.56</v>
      </c>
      <c r="D487" s="4">
        <v>1</v>
      </c>
      <c r="E487" s="5">
        <v>0.14000000000000001</v>
      </c>
      <c r="F487" s="4">
        <v>23</v>
      </c>
      <c r="G487" s="5">
        <v>2.78</v>
      </c>
      <c r="H487" s="4">
        <v>0</v>
      </c>
    </row>
    <row r="488" spans="1:8" x14ac:dyDescent="0.2">
      <c r="A488" s="2" t="s">
        <v>79</v>
      </c>
      <c r="B488" s="4">
        <v>5</v>
      </c>
      <c r="C488" s="5">
        <v>0.32</v>
      </c>
      <c r="D488" s="4">
        <v>0</v>
      </c>
      <c r="E488" s="5">
        <v>0</v>
      </c>
      <c r="F488" s="4">
        <v>5</v>
      </c>
      <c r="G488" s="5">
        <v>0.6</v>
      </c>
      <c r="H488" s="4">
        <v>0</v>
      </c>
    </row>
    <row r="489" spans="1:8" x14ac:dyDescent="0.2">
      <c r="A489" s="2" t="s">
        <v>80</v>
      </c>
      <c r="B489" s="4">
        <v>295</v>
      </c>
      <c r="C489" s="5">
        <v>19.12</v>
      </c>
      <c r="D489" s="4">
        <v>112</v>
      </c>
      <c r="E489" s="5">
        <v>15.86</v>
      </c>
      <c r="F489" s="4">
        <v>183</v>
      </c>
      <c r="G489" s="5">
        <v>22.13</v>
      </c>
      <c r="H489" s="4">
        <v>0</v>
      </c>
    </row>
    <row r="490" spans="1:8" x14ac:dyDescent="0.2">
      <c r="A490" s="2" t="s">
        <v>81</v>
      </c>
      <c r="B490" s="4">
        <v>9</v>
      </c>
      <c r="C490" s="5">
        <v>0.57999999999999996</v>
      </c>
      <c r="D490" s="4">
        <v>0</v>
      </c>
      <c r="E490" s="5">
        <v>0</v>
      </c>
      <c r="F490" s="4">
        <v>9</v>
      </c>
      <c r="G490" s="5">
        <v>1.0900000000000001</v>
      </c>
      <c r="H490" s="4">
        <v>0</v>
      </c>
    </row>
    <row r="491" spans="1:8" x14ac:dyDescent="0.2">
      <c r="A491" s="2" t="s">
        <v>82</v>
      </c>
      <c r="B491" s="4">
        <v>253</v>
      </c>
      <c r="C491" s="5">
        <v>16.399999999999999</v>
      </c>
      <c r="D491" s="4">
        <v>86</v>
      </c>
      <c r="E491" s="5">
        <v>12.18</v>
      </c>
      <c r="F491" s="4">
        <v>167</v>
      </c>
      <c r="G491" s="5">
        <v>20.190000000000001</v>
      </c>
      <c r="H491" s="4">
        <v>0</v>
      </c>
    </row>
    <row r="492" spans="1:8" x14ac:dyDescent="0.2">
      <c r="A492" s="2" t="s">
        <v>83</v>
      </c>
      <c r="B492" s="4">
        <v>65</v>
      </c>
      <c r="C492" s="5">
        <v>4.21</v>
      </c>
      <c r="D492" s="4">
        <v>28</v>
      </c>
      <c r="E492" s="5">
        <v>3.97</v>
      </c>
      <c r="F492" s="4">
        <v>37</v>
      </c>
      <c r="G492" s="5">
        <v>4.47</v>
      </c>
      <c r="H492" s="4">
        <v>0</v>
      </c>
    </row>
    <row r="493" spans="1:8" x14ac:dyDescent="0.2">
      <c r="A493" s="2" t="s">
        <v>84</v>
      </c>
      <c r="B493" s="4">
        <v>210</v>
      </c>
      <c r="C493" s="5">
        <v>13.61</v>
      </c>
      <c r="D493" s="4">
        <v>173</v>
      </c>
      <c r="E493" s="5">
        <v>24.5</v>
      </c>
      <c r="F493" s="4">
        <v>36</v>
      </c>
      <c r="G493" s="5">
        <v>4.3499999999999996</v>
      </c>
      <c r="H493" s="4">
        <v>0</v>
      </c>
    </row>
    <row r="494" spans="1:8" x14ac:dyDescent="0.2">
      <c r="A494" s="2" t="s">
        <v>85</v>
      </c>
      <c r="B494" s="4">
        <v>202</v>
      </c>
      <c r="C494" s="5">
        <v>13.09</v>
      </c>
      <c r="D494" s="4">
        <v>149</v>
      </c>
      <c r="E494" s="5">
        <v>21.1</v>
      </c>
      <c r="F494" s="4">
        <v>53</v>
      </c>
      <c r="G494" s="5">
        <v>6.41</v>
      </c>
      <c r="H494" s="4">
        <v>0</v>
      </c>
    </row>
    <row r="495" spans="1:8" x14ac:dyDescent="0.2">
      <c r="A495" s="2" t="s">
        <v>86</v>
      </c>
      <c r="B495" s="4">
        <v>57</v>
      </c>
      <c r="C495" s="5">
        <v>3.69</v>
      </c>
      <c r="D495" s="4">
        <v>40</v>
      </c>
      <c r="E495" s="5">
        <v>5.67</v>
      </c>
      <c r="F495" s="4">
        <v>13</v>
      </c>
      <c r="G495" s="5">
        <v>1.57</v>
      </c>
      <c r="H495" s="4">
        <v>0</v>
      </c>
    </row>
    <row r="496" spans="1:8" x14ac:dyDescent="0.2">
      <c r="A496" s="2" t="s">
        <v>87</v>
      </c>
      <c r="B496" s="4">
        <v>89</v>
      </c>
      <c r="C496" s="5">
        <v>5.77</v>
      </c>
      <c r="D496" s="4">
        <v>52</v>
      </c>
      <c r="E496" s="5">
        <v>7.37</v>
      </c>
      <c r="F496" s="4">
        <v>33</v>
      </c>
      <c r="G496" s="5">
        <v>3.99</v>
      </c>
      <c r="H496" s="4">
        <v>0</v>
      </c>
    </row>
    <row r="497" spans="1:8" x14ac:dyDescent="0.2">
      <c r="A497" s="2" t="s">
        <v>88</v>
      </c>
      <c r="B497" s="4">
        <v>28</v>
      </c>
      <c r="C497" s="5">
        <v>1.81</v>
      </c>
      <c r="D497" s="4">
        <v>8</v>
      </c>
      <c r="E497" s="5">
        <v>1.1299999999999999</v>
      </c>
      <c r="F497" s="4">
        <v>19</v>
      </c>
      <c r="G497" s="5">
        <v>2.2999999999999998</v>
      </c>
      <c r="H497" s="4">
        <v>0</v>
      </c>
    </row>
    <row r="498" spans="1:8" x14ac:dyDescent="0.2">
      <c r="A498" s="1" t="s">
        <v>31</v>
      </c>
      <c r="B498" s="4">
        <v>2917</v>
      </c>
      <c r="C498" s="5">
        <v>100.00999999999999</v>
      </c>
      <c r="D498" s="4">
        <v>913</v>
      </c>
      <c r="E498" s="5">
        <v>100.00999999999999</v>
      </c>
      <c r="F498" s="4">
        <v>1996</v>
      </c>
      <c r="G498" s="5">
        <v>100.00999999999999</v>
      </c>
      <c r="H498" s="4">
        <v>3</v>
      </c>
    </row>
    <row r="499" spans="1:8" x14ac:dyDescent="0.2">
      <c r="A499" s="2" t="s">
        <v>74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2">
      <c r="A500" s="2" t="s">
        <v>75</v>
      </c>
      <c r="B500" s="4">
        <v>400</v>
      </c>
      <c r="C500" s="5">
        <v>13.71</v>
      </c>
      <c r="D500" s="4">
        <v>43</v>
      </c>
      <c r="E500" s="5">
        <v>4.71</v>
      </c>
      <c r="F500" s="4">
        <v>357</v>
      </c>
      <c r="G500" s="5">
        <v>17.89</v>
      </c>
      <c r="H500" s="4">
        <v>0</v>
      </c>
    </row>
    <row r="501" spans="1:8" x14ac:dyDescent="0.2">
      <c r="A501" s="2" t="s">
        <v>76</v>
      </c>
      <c r="B501" s="4">
        <v>499</v>
      </c>
      <c r="C501" s="5">
        <v>17.11</v>
      </c>
      <c r="D501" s="4">
        <v>87</v>
      </c>
      <c r="E501" s="5">
        <v>9.5299999999999994</v>
      </c>
      <c r="F501" s="4">
        <v>412</v>
      </c>
      <c r="G501" s="5">
        <v>20.64</v>
      </c>
      <c r="H501" s="4">
        <v>0</v>
      </c>
    </row>
    <row r="502" spans="1:8" x14ac:dyDescent="0.2">
      <c r="A502" s="2" t="s">
        <v>77</v>
      </c>
      <c r="B502" s="4">
        <v>1</v>
      </c>
      <c r="C502" s="5">
        <v>0.03</v>
      </c>
      <c r="D502" s="4">
        <v>0</v>
      </c>
      <c r="E502" s="5">
        <v>0</v>
      </c>
      <c r="F502" s="4">
        <v>1</v>
      </c>
      <c r="G502" s="5">
        <v>0.05</v>
      </c>
      <c r="H502" s="4">
        <v>0</v>
      </c>
    </row>
    <row r="503" spans="1:8" x14ac:dyDescent="0.2">
      <c r="A503" s="2" t="s">
        <v>78</v>
      </c>
      <c r="B503" s="4">
        <v>38</v>
      </c>
      <c r="C503" s="5">
        <v>1.3</v>
      </c>
      <c r="D503" s="4">
        <v>1</v>
      </c>
      <c r="E503" s="5">
        <v>0.11</v>
      </c>
      <c r="F503" s="4">
        <v>36</v>
      </c>
      <c r="G503" s="5">
        <v>1.8</v>
      </c>
      <c r="H503" s="4">
        <v>1</v>
      </c>
    </row>
    <row r="504" spans="1:8" x14ac:dyDescent="0.2">
      <c r="A504" s="2" t="s">
        <v>79</v>
      </c>
      <c r="B504" s="4">
        <v>65</v>
      </c>
      <c r="C504" s="5">
        <v>2.23</v>
      </c>
      <c r="D504" s="4">
        <v>3</v>
      </c>
      <c r="E504" s="5">
        <v>0.33</v>
      </c>
      <c r="F504" s="4">
        <v>62</v>
      </c>
      <c r="G504" s="5">
        <v>3.11</v>
      </c>
      <c r="H504" s="4">
        <v>0</v>
      </c>
    </row>
    <row r="505" spans="1:8" x14ac:dyDescent="0.2">
      <c r="A505" s="2" t="s">
        <v>80</v>
      </c>
      <c r="B505" s="4">
        <v>417</v>
      </c>
      <c r="C505" s="5">
        <v>14.3</v>
      </c>
      <c r="D505" s="4">
        <v>114</v>
      </c>
      <c r="E505" s="5">
        <v>12.49</v>
      </c>
      <c r="F505" s="4">
        <v>303</v>
      </c>
      <c r="G505" s="5">
        <v>15.18</v>
      </c>
      <c r="H505" s="4">
        <v>0</v>
      </c>
    </row>
    <row r="506" spans="1:8" x14ac:dyDescent="0.2">
      <c r="A506" s="2" t="s">
        <v>81</v>
      </c>
      <c r="B506" s="4">
        <v>7</v>
      </c>
      <c r="C506" s="5">
        <v>0.24</v>
      </c>
      <c r="D506" s="4">
        <v>0</v>
      </c>
      <c r="E506" s="5">
        <v>0</v>
      </c>
      <c r="F506" s="4">
        <v>7</v>
      </c>
      <c r="G506" s="5">
        <v>0.35</v>
      </c>
      <c r="H506" s="4">
        <v>0</v>
      </c>
    </row>
    <row r="507" spans="1:8" x14ac:dyDescent="0.2">
      <c r="A507" s="2" t="s">
        <v>82</v>
      </c>
      <c r="B507" s="4">
        <v>578</v>
      </c>
      <c r="C507" s="5">
        <v>19.809999999999999</v>
      </c>
      <c r="D507" s="4">
        <v>135</v>
      </c>
      <c r="E507" s="5">
        <v>14.79</v>
      </c>
      <c r="F507" s="4">
        <v>443</v>
      </c>
      <c r="G507" s="5">
        <v>22.19</v>
      </c>
      <c r="H507" s="4">
        <v>0</v>
      </c>
    </row>
    <row r="508" spans="1:8" x14ac:dyDescent="0.2">
      <c r="A508" s="2" t="s">
        <v>83</v>
      </c>
      <c r="B508" s="4">
        <v>132</v>
      </c>
      <c r="C508" s="5">
        <v>4.53</v>
      </c>
      <c r="D508" s="4">
        <v>55</v>
      </c>
      <c r="E508" s="5">
        <v>6.02</v>
      </c>
      <c r="F508" s="4">
        <v>76</v>
      </c>
      <c r="G508" s="5">
        <v>3.81</v>
      </c>
      <c r="H508" s="4">
        <v>0</v>
      </c>
    </row>
    <row r="509" spans="1:8" x14ac:dyDescent="0.2">
      <c r="A509" s="2" t="s">
        <v>84</v>
      </c>
      <c r="B509" s="4">
        <v>196</v>
      </c>
      <c r="C509" s="5">
        <v>6.72</v>
      </c>
      <c r="D509" s="4">
        <v>139</v>
      </c>
      <c r="E509" s="5">
        <v>15.22</v>
      </c>
      <c r="F509" s="4">
        <v>57</v>
      </c>
      <c r="G509" s="5">
        <v>2.86</v>
      </c>
      <c r="H509" s="4">
        <v>0</v>
      </c>
    </row>
    <row r="510" spans="1:8" x14ac:dyDescent="0.2">
      <c r="A510" s="2" t="s">
        <v>85</v>
      </c>
      <c r="B510" s="4">
        <v>240</v>
      </c>
      <c r="C510" s="5">
        <v>8.23</v>
      </c>
      <c r="D510" s="4">
        <v>171</v>
      </c>
      <c r="E510" s="5">
        <v>18.73</v>
      </c>
      <c r="F510" s="4">
        <v>69</v>
      </c>
      <c r="G510" s="5">
        <v>3.46</v>
      </c>
      <c r="H510" s="4">
        <v>0</v>
      </c>
    </row>
    <row r="511" spans="1:8" x14ac:dyDescent="0.2">
      <c r="A511" s="2" t="s">
        <v>86</v>
      </c>
      <c r="B511" s="4">
        <v>110</v>
      </c>
      <c r="C511" s="5">
        <v>3.77</v>
      </c>
      <c r="D511" s="4">
        <v>73</v>
      </c>
      <c r="E511" s="5">
        <v>8</v>
      </c>
      <c r="F511" s="4">
        <v>36</v>
      </c>
      <c r="G511" s="5">
        <v>1.8</v>
      </c>
      <c r="H511" s="4">
        <v>0</v>
      </c>
    </row>
    <row r="512" spans="1:8" x14ac:dyDescent="0.2">
      <c r="A512" s="2" t="s">
        <v>87</v>
      </c>
      <c r="B512" s="4">
        <v>118</v>
      </c>
      <c r="C512" s="5">
        <v>4.05</v>
      </c>
      <c r="D512" s="4">
        <v>65</v>
      </c>
      <c r="E512" s="5">
        <v>7.12</v>
      </c>
      <c r="F512" s="4">
        <v>50</v>
      </c>
      <c r="G512" s="5">
        <v>2.5099999999999998</v>
      </c>
      <c r="H512" s="4">
        <v>0</v>
      </c>
    </row>
    <row r="513" spans="1:8" x14ac:dyDescent="0.2">
      <c r="A513" s="2" t="s">
        <v>88</v>
      </c>
      <c r="B513" s="4">
        <v>116</v>
      </c>
      <c r="C513" s="5">
        <v>3.98</v>
      </c>
      <c r="D513" s="4">
        <v>27</v>
      </c>
      <c r="E513" s="5">
        <v>2.96</v>
      </c>
      <c r="F513" s="4">
        <v>87</v>
      </c>
      <c r="G513" s="5">
        <v>4.3600000000000003</v>
      </c>
      <c r="H513" s="4">
        <v>2</v>
      </c>
    </row>
    <row r="514" spans="1:8" x14ac:dyDescent="0.2">
      <c r="A514" s="1" t="s">
        <v>32</v>
      </c>
      <c r="B514" s="4">
        <v>2787</v>
      </c>
      <c r="C514" s="5">
        <v>99.990000000000009</v>
      </c>
      <c r="D514" s="4">
        <v>1216</v>
      </c>
      <c r="E514" s="5">
        <v>99.99</v>
      </c>
      <c r="F514" s="4">
        <v>1554</v>
      </c>
      <c r="G514" s="5">
        <v>99.99</v>
      </c>
      <c r="H514" s="4">
        <v>3</v>
      </c>
    </row>
    <row r="515" spans="1:8" x14ac:dyDescent="0.2">
      <c r="A515" s="2" t="s">
        <v>74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2">
      <c r="A516" s="2" t="s">
        <v>75</v>
      </c>
      <c r="B516" s="4">
        <v>476</v>
      </c>
      <c r="C516" s="5">
        <v>17.079999999999998</v>
      </c>
      <c r="D516" s="4">
        <v>104</v>
      </c>
      <c r="E516" s="5">
        <v>8.5500000000000007</v>
      </c>
      <c r="F516" s="4">
        <v>372</v>
      </c>
      <c r="G516" s="5">
        <v>23.94</v>
      </c>
      <c r="H516" s="4">
        <v>0</v>
      </c>
    </row>
    <row r="517" spans="1:8" x14ac:dyDescent="0.2">
      <c r="A517" s="2" t="s">
        <v>76</v>
      </c>
      <c r="B517" s="4">
        <v>357</v>
      </c>
      <c r="C517" s="5">
        <v>12.81</v>
      </c>
      <c r="D517" s="4">
        <v>101</v>
      </c>
      <c r="E517" s="5">
        <v>8.31</v>
      </c>
      <c r="F517" s="4">
        <v>256</v>
      </c>
      <c r="G517" s="5">
        <v>16.47</v>
      </c>
      <c r="H517" s="4">
        <v>0</v>
      </c>
    </row>
    <row r="518" spans="1:8" x14ac:dyDescent="0.2">
      <c r="A518" s="2" t="s">
        <v>77</v>
      </c>
      <c r="B518" s="4">
        <v>0</v>
      </c>
      <c r="C518" s="5">
        <v>0</v>
      </c>
      <c r="D518" s="4">
        <v>0</v>
      </c>
      <c r="E518" s="5">
        <v>0</v>
      </c>
      <c r="F518" s="4">
        <v>0</v>
      </c>
      <c r="G518" s="5">
        <v>0</v>
      </c>
      <c r="H518" s="4">
        <v>0</v>
      </c>
    </row>
    <row r="519" spans="1:8" x14ac:dyDescent="0.2">
      <c r="A519" s="2" t="s">
        <v>78</v>
      </c>
      <c r="B519" s="4">
        <v>35</v>
      </c>
      <c r="C519" s="5">
        <v>1.26</v>
      </c>
      <c r="D519" s="4">
        <v>1</v>
      </c>
      <c r="E519" s="5">
        <v>0.08</v>
      </c>
      <c r="F519" s="4">
        <v>33</v>
      </c>
      <c r="G519" s="5">
        <v>2.12</v>
      </c>
      <c r="H519" s="4">
        <v>1</v>
      </c>
    </row>
    <row r="520" spans="1:8" x14ac:dyDescent="0.2">
      <c r="A520" s="2" t="s">
        <v>79</v>
      </c>
      <c r="B520" s="4">
        <v>26</v>
      </c>
      <c r="C520" s="5">
        <v>0.93</v>
      </c>
      <c r="D520" s="4">
        <v>1</v>
      </c>
      <c r="E520" s="5">
        <v>0.08</v>
      </c>
      <c r="F520" s="4">
        <v>25</v>
      </c>
      <c r="G520" s="5">
        <v>1.61</v>
      </c>
      <c r="H520" s="4">
        <v>0</v>
      </c>
    </row>
    <row r="521" spans="1:8" x14ac:dyDescent="0.2">
      <c r="A521" s="2" t="s">
        <v>80</v>
      </c>
      <c r="B521" s="4">
        <v>597</v>
      </c>
      <c r="C521" s="5">
        <v>21.42</v>
      </c>
      <c r="D521" s="4">
        <v>251</v>
      </c>
      <c r="E521" s="5">
        <v>20.64</v>
      </c>
      <c r="F521" s="4">
        <v>345</v>
      </c>
      <c r="G521" s="5">
        <v>22.2</v>
      </c>
      <c r="H521" s="4">
        <v>1</v>
      </c>
    </row>
    <row r="522" spans="1:8" x14ac:dyDescent="0.2">
      <c r="A522" s="2" t="s">
        <v>81</v>
      </c>
      <c r="B522" s="4">
        <v>14</v>
      </c>
      <c r="C522" s="5">
        <v>0.5</v>
      </c>
      <c r="D522" s="4">
        <v>1</v>
      </c>
      <c r="E522" s="5">
        <v>0.08</v>
      </c>
      <c r="F522" s="4">
        <v>13</v>
      </c>
      <c r="G522" s="5">
        <v>0.84</v>
      </c>
      <c r="H522" s="4">
        <v>0</v>
      </c>
    </row>
    <row r="523" spans="1:8" x14ac:dyDescent="0.2">
      <c r="A523" s="2" t="s">
        <v>82</v>
      </c>
      <c r="B523" s="4">
        <v>210</v>
      </c>
      <c r="C523" s="5">
        <v>7.53</v>
      </c>
      <c r="D523" s="4">
        <v>47</v>
      </c>
      <c r="E523" s="5">
        <v>3.87</v>
      </c>
      <c r="F523" s="4">
        <v>162</v>
      </c>
      <c r="G523" s="5">
        <v>10.42</v>
      </c>
      <c r="H523" s="4">
        <v>1</v>
      </c>
    </row>
    <row r="524" spans="1:8" x14ac:dyDescent="0.2">
      <c r="A524" s="2" t="s">
        <v>83</v>
      </c>
      <c r="B524" s="4">
        <v>128</v>
      </c>
      <c r="C524" s="5">
        <v>4.59</v>
      </c>
      <c r="D524" s="4">
        <v>55</v>
      </c>
      <c r="E524" s="5">
        <v>4.5199999999999996</v>
      </c>
      <c r="F524" s="4">
        <v>73</v>
      </c>
      <c r="G524" s="5">
        <v>4.7</v>
      </c>
      <c r="H524" s="4">
        <v>0</v>
      </c>
    </row>
    <row r="525" spans="1:8" x14ac:dyDescent="0.2">
      <c r="A525" s="2" t="s">
        <v>84</v>
      </c>
      <c r="B525" s="4">
        <v>249</v>
      </c>
      <c r="C525" s="5">
        <v>8.93</v>
      </c>
      <c r="D525" s="4">
        <v>207</v>
      </c>
      <c r="E525" s="5">
        <v>17.02</v>
      </c>
      <c r="F525" s="4">
        <v>41</v>
      </c>
      <c r="G525" s="5">
        <v>2.64</v>
      </c>
      <c r="H525" s="4">
        <v>0</v>
      </c>
    </row>
    <row r="526" spans="1:8" x14ac:dyDescent="0.2">
      <c r="A526" s="2" t="s">
        <v>85</v>
      </c>
      <c r="B526" s="4">
        <v>325</v>
      </c>
      <c r="C526" s="5">
        <v>11.66</v>
      </c>
      <c r="D526" s="4">
        <v>246</v>
      </c>
      <c r="E526" s="5">
        <v>20.23</v>
      </c>
      <c r="F526" s="4">
        <v>79</v>
      </c>
      <c r="G526" s="5">
        <v>5.08</v>
      </c>
      <c r="H526" s="4">
        <v>0</v>
      </c>
    </row>
    <row r="527" spans="1:8" x14ac:dyDescent="0.2">
      <c r="A527" s="2" t="s">
        <v>86</v>
      </c>
      <c r="B527" s="4">
        <v>132</v>
      </c>
      <c r="C527" s="5">
        <v>4.74</v>
      </c>
      <c r="D527" s="4">
        <v>87</v>
      </c>
      <c r="E527" s="5">
        <v>7.15</v>
      </c>
      <c r="F527" s="4">
        <v>32</v>
      </c>
      <c r="G527" s="5">
        <v>2.06</v>
      </c>
      <c r="H527" s="4">
        <v>0</v>
      </c>
    </row>
    <row r="528" spans="1:8" x14ac:dyDescent="0.2">
      <c r="A528" s="2" t="s">
        <v>87</v>
      </c>
      <c r="B528" s="4">
        <v>151</v>
      </c>
      <c r="C528" s="5">
        <v>5.42</v>
      </c>
      <c r="D528" s="4">
        <v>88</v>
      </c>
      <c r="E528" s="5">
        <v>7.24</v>
      </c>
      <c r="F528" s="4">
        <v>63</v>
      </c>
      <c r="G528" s="5">
        <v>4.05</v>
      </c>
      <c r="H528" s="4">
        <v>0</v>
      </c>
    </row>
    <row r="529" spans="1:8" x14ac:dyDescent="0.2">
      <c r="A529" s="2" t="s">
        <v>88</v>
      </c>
      <c r="B529" s="4">
        <v>87</v>
      </c>
      <c r="C529" s="5">
        <v>3.12</v>
      </c>
      <c r="D529" s="4">
        <v>27</v>
      </c>
      <c r="E529" s="5">
        <v>2.2200000000000002</v>
      </c>
      <c r="F529" s="4">
        <v>60</v>
      </c>
      <c r="G529" s="5">
        <v>3.86</v>
      </c>
      <c r="H529" s="4">
        <v>0</v>
      </c>
    </row>
    <row r="530" spans="1:8" x14ac:dyDescent="0.2">
      <c r="A530" s="1" t="s">
        <v>33</v>
      </c>
      <c r="B530" s="4">
        <v>2025</v>
      </c>
      <c r="C530" s="5">
        <v>100.00999999999999</v>
      </c>
      <c r="D530" s="4">
        <v>657</v>
      </c>
      <c r="E530" s="5">
        <v>99.99</v>
      </c>
      <c r="F530" s="4">
        <v>1365</v>
      </c>
      <c r="G530" s="5">
        <v>99.999999999999986</v>
      </c>
      <c r="H530" s="4">
        <v>1</v>
      </c>
    </row>
    <row r="531" spans="1:8" x14ac:dyDescent="0.2">
      <c r="A531" s="2" t="s">
        <v>74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2">
      <c r="A532" s="2" t="s">
        <v>75</v>
      </c>
      <c r="B532" s="4">
        <v>413</v>
      </c>
      <c r="C532" s="5">
        <v>20.399999999999999</v>
      </c>
      <c r="D532" s="4">
        <v>44</v>
      </c>
      <c r="E532" s="5">
        <v>6.7</v>
      </c>
      <c r="F532" s="4">
        <v>369</v>
      </c>
      <c r="G532" s="5">
        <v>27.03</v>
      </c>
      <c r="H532" s="4">
        <v>0</v>
      </c>
    </row>
    <row r="533" spans="1:8" x14ac:dyDescent="0.2">
      <c r="A533" s="2" t="s">
        <v>76</v>
      </c>
      <c r="B533" s="4">
        <v>236</v>
      </c>
      <c r="C533" s="5">
        <v>11.65</v>
      </c>
      <c r="D533" s="4">
        <v>51</v>
      </c>
      <c r="E533" s="5">
        <v>7.76</v>
      </c>
      <c r="F533" s="4">
        <v>185</v>
      </c>
      <c r="G533" s="5">
        <v>13.55</v>
      </c>
      <c r="H533" s="4">
        <v>0</v>
      </c>
    </row>
    <row r="534" spans="1:8" x14ac:dyDescent="0.2">
      <c r="A534" s="2" t="s">
        <v>77</v>
      </c>
      <c r="B534" s="4">
        <v>3</v>
      </c>
      <c r="C534" s="5">
        <v>0.15</v>
      </c>
      <c r="D534" s="4">
        <v>0</v>
      </c>
      <c r="E534" s="5">
        <v>0</v>
      </c>
      <c r="F534" s="4">
        <v>3</v>
      </c>
      <c r="G534" s="5">
        <v>0.22</v>
      </c>
      <c r="H534" s="4">
        <v>0</v>
      </c>
    </row>
    <row r="535" spans="1:8" x14ac:dyDescent="0.2">
      <c r="A535" s="2" t="s">
        <v>78</v>
      </c>
      <c r="B535" s="4">
        <v>38</v>
      </c>
      <c r="C535" s="5">
        <v>1.88</v>
      </c>
      <c r="D535" s="4">
        <v>1</v>
      </c>
      <c r="E535" s="5">
        <v>0.15</v>
      </c>
      <c r="F535" s="4">
        <v>37</v>
      </c>
      <c r="G535" s="5">
        <v>2.71</v>
      </c>
      <c r="H535" s="4">
        <v>0</v>
      </c>
    </row>
    <row r="536" spans="1:8" x14ac:dyDescent="0.2">
      <c r="A536" s="2" t="s">
        <v>79</v>
      </c>
      <c r="B536" s="4">
        <v>33</v>
      </c>
      <c r="C536" s="5">
        <v>1.63</v>
      </c>
      <c r="D536" s="4">
        <v>1</v>
      </c>
      <c r="E536" s="5">
        <v>0.15</v>
      </c>
      <c r="F536" s="4">
        <v>32</v>
      </c>
      <c r="G536" s="5">
        <v>2.34</v>
      </c>
      <c r="H536" s="4">
        <v>0</v>
      </c>
    </row>
    <row r="537" spans="1:8" x14ac:dyDescent="0.2">
      <c r="A537" s="2" t="s">
        <v>80</v>
      </c>
      <c r="B537" s="4">
        <v>304</v>
      </c>
      <c r="C537" s="5">
        <v>15.01</v>
      </c>
      <c r="D537" s="4">
        <v>102</v>
      </c>
      <c r="E537" s="5">
        <v>15.53</v>
      </c>
      <c r="F537" s="4">
        <v>202</v>
      </c>
      <c r="G537" s="5">
        <v>14.8</v>
      </c>
      <c r="H537" s="4">
        <v>0</v>
      </c>
    </row>
    <row r="538" spans="1:8" x14ac:dyDescent="0.2">
      <c r="A538" s="2" t="s">
        <v>81</v>
      </c>
      <c r="B538" s="4">
        <v>7</v>
      </c>
      <c r="C538" s="5">
        <v>0.35</v>
      </c>
      <c r="D538" s="4">
        <v>0</v>
      </c>
      <c r="E538" s="5">
        <v>0</v>
      </c>
      <c r="F538" s="4">
        <v>7</v>
      </c>
      <c r="G538" s="5">
        <v>0.51</v>
      </c>
      <c r="H538" s="4">
        <v>0</v>
      </c>
    </row>
    <row r="539" spans="1:8" x14ac:dyDescent="0.2">
      <c r="A539" s="2" t="s">
        <v>82</v>
      </c>
      <c r="B539" s="4">
        <v>258</v>
      </c>
      <c r="C539" s="5">
        <v>12.74</v>
      </c>
      <c r="D539" s="4">
        <v>6</v>
      </c>
      <c r="E539" s="5">
        <v>0.91</v>
      </c>
      <c r="F539" s="4">
        <v>251</v>
      </c>
      <c r="G539" s="5">
        <v>18.39</v>
      </c>
      <c r="H539" s="4">
        <v>0</v>
      </c>
    </row>
    <row r="540" spans="1:8" x14ac:dyDescent="0.2">
      <c r="A540" s="2" t="s">
        <v>83</v>
      </c>
      <c r="B540" s="4">
        <v>80</v>
      </c>
      <c r="C540" s="5">
        <v>3.95</v>
      </c>
      <c r="D540" s="4">
        <v>32</v>
      </c>
      <c r="E540" s="5">
        <v>4.87</v>
      </c>
      <c r="F540" s="4">
        <v>48</v>
      </c>
      <c r="G540" s="5">
        <v>3.52</v>
      </c>
      <c r="H540" s="4">
        <v>0</v>
      </c>
    </row>
    <row r="541" spans="1:8" x14ac:dyDescent="0.2">
      <c r="A541" s="2" t="s">
        <v>84</v>
      </c>
      <c r="B541" s="4">
        <v>190</v>
      </c>
      <c r="C541" s="5">
        <v>9.3800000000000008</v>
      </c>
      <c r="D541" s="4">
        <v>142</v>
      </c>
      <c r="E541" s="5">
        <v>21.61</v>
      </c>
      <c r="F541" s="4">
        <v>48</v>
      </c>
      <c r="G541" s="5">
        <v>3.52</v>
      </c>
      <c r="H541" s="4">
        <v>0</v>
      </c>
    </row>
    <row r="542" spans="1:8" x14ac:dyDescent="0.2">
      <c r="A542" s="2" t="s">
        <v>85</v>
      </c>
      <c r="B542" s="4">
        <v>196</v>
      </c>
      <c r="C542" s="5">
        <v>9.68</v>
      </c>
      <c r="D542" s="4">
        <v>136</v>
      </c>
      <c r="E542" s="5">
        <v>20.7</v>
      </c>
      <c r="F542" s="4">
        <v>60</v>
      </c>
      <c r="G542" s="5">
        <v>4.4000000000000004</v>
      </c>
      <c r="H542" s="4">
        <v>0</v>
      </c>
    </row>
    <row r="543" spans="1:8" x14ac:dyDescent="0.2">
      <c r="A543" s="2" t="s">
        <v>86</v>
      </c>
      <c r="B543" s="4">
        <v>83</v>
      </c>
      <c r="C543" s="5">
        <v>4.0999999999999996</v>
      </c>
      <c r="D543" s="4">
        <v>58</v>
      </c>
      <c r="E543" s="5">
        <v>8.83</v>
      </c>
      <c r="F543" s="4">
        <v>25</v>
      </c>
      <c r="G543" s="5">
        <v>1.83</v>
      </c>
      <c r="H543" s="4">
        <v>0</v>
      </c>
    </row>
    <row r="544" spans="1:8" x14ac:dyDescent="0.2">
      <c r="A544" s="2" t="s">
        <v>87</v>
      </c>
      <c r="B544" s="4">
        <v>112</v>
      </c>
      <c r="C544" s="5">
        <v>5.53</v>
      </c>
      <c r="D544" s="4">
        <v>65</v>
      </c>
      <c r="E544" s="5">
        <v>9.89</v>
      </c>
      <c r="F544" s="4">
        <v>46</v>
      </c>
      <c r="G544" s="5">
        <v>3.37</v>
      </c>
      <c r="H544" s="4">
        <v>0</v>
      </c>
    </row>
    <row r="545" spans="1:8" x14ac:dyDescent="0.2">
      <c r="A545" s="2" t="s">
        <v>88</v>
      </c>
      <c r="B545" s="4">
        <v>72</v>
      </c>
      <c r="C545" s="5">
        <v>3.56</v>
      </c>
      <c r="D545" s="4">
        <v>19</v>
      </c>
      <c r="E545" s="5">
        <v>2.89</v>
      </c>
      <c r="F545" s="4">
        <v>52</v>
      </c>
      <c r="G545" s="5">
        <v>3.81</v>
      </c>
      <c r="H545" s="4">
        <v>1</v>
      </c>
    </row>
    <row r="546" spans="1:8" x14ac:dyDescent="0.2">
      <c r="A546" s="1" t="s">
        <v>34</v>
      </c>
      <c r="B546" s="4">
        <v>1277</v>
      </c>
      <c r="C546" s="5">
        <v>99.999999999999986</v>
      </c>
      <c r="D546" s="4">
        <v>460</v>
      </c>
      <c r="E546" s="5">
        <v>100.01</v>
      </c>
      <c r="F546" s="4">
        <v>817</v>
      </c>
      <c r="G546" s="5">
        <v>100</v>
      </c>
      <c r="H546" s="4">
        <v>0</v>
      </c>
    </row>
    <row r="547" spans="1:8" x14ac:dyDescent="0.2">
      <c r="A547" s="2" t="s">
        <v>74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2">
      <c r="A548" s="2" t="s">
        <v>75</v>
      </c>
      <c r="B548" s="4">
        <v>203</v>
      </c>
      <c r="C548" s="5">
        <v>15.9</v>
      </c>
      <c r="D548" s="4">
        <v>24</v>
      </c>
      <c r="E548" s="5">
        <v>5.22</v>
      </c>
      <c r="F548" s="4">
        <v>179</v>
      </c>
      <c r="G548" s="5">
        <v>21.91</v>
      </c>
      <c r="H548" s="4">
        <v>0</v>
      </c>
    </row>
    <row r="549" spans="1:8" x14ac:dyDescent="0.2">
      <c r="A549" s="2" t="s">
        <v>76</v>
      </c>
      <c r="B549" s="4">
        <v>142</v>
      </c>
      <c r="C549" s="5">
        <v>11.12</v>
      </c>
      <c r="D549" s="4">
        <v>27</v>
      </c>
      <c r="E549" s="5">
        <v>5.87</v>
      </c>
      <c r="F549" s="4">
        <v>115</v>
      </c>
      <c r="G549" s="5">
        <v>14.08</v>
      </c>
      <c r="H549" s="4">
        <v>0</v>
      </c>
    </row>
    <row r="550" spans="1:8" x14ac:dyDescent="0.2">
      <c r="A550" s="2" t="s">
        <v>77</v>
      </c>
      <c r="B550" s="4">
        <v>1</v>
      </c>
      <c r="C550" s="5">
        <v>0.08</v>
      </c>
      <c r="D550" s="4">
        <v>0</v>
      </c>
      <c r="E550" s="5">
        <v>0</v>
      </c>
      <c r="F550" s="4">
        <v>1</v>
      </c>
      <c r="G550" s="5">
        <v>0.12</v>
      </c>
      <c r="H550" s="4">
        <v>0</v>
      </c>
    </row>
    <row r="551" spans="1:8" x14ac:dyDescent="0.2">
      <c r="A551" s="2" t="s">
        <v>78</v>
      </c>
      <c r="B551" s="4">
        <v>21</v>
      </c>
      <c r="C551" s="5">
        <v>1.64</v>
      </c>
      <c r="D551" s="4">
        <v>1</v>
      </c>
      <c r="E551" s="5">
        <v>0.22</v>
      </c>
      <c r="F551" s="4">
        <v>20</v>
      </c>
      <c r="G551" s="5">
        <v>2.4500000000000002</v>
      </c>
      <c r="H551" s="4">
        <v>0</v>
      </c>
    </row>
    <row r="552" spans="1:8" x14ac:dyDescent="0.2">
      <c r="A552" s="2" t="s">
        <v>79</v>
      </c>
      <c r="B552" s="4">
        <v>17</v>
      </c>
      <c r="C552" s="5">
        <v>1.33</v>
      </c>
      <c r="D552" s="4">
        <v>1</v>
      </c>
      <c r="E552" s="5">
        <v>0.22</v>
      </c>
      <c r="F552" s="4">
        <v>16</v>
      </c>
      <c r="G552" s="5">
        <v>1.96</v>
      </c>
      <c r="H552" s="4">
        <v>0</v>
      </c>
    </row>
    <row r="553" spans="1:8" x14ac:dyDescent="0.2">
      <c r="A553" s="2" t="s">
        <v>80</v>
      </c>
      <c r="B553" s="4">
        <v>227</v>
      </c>
      <c r="C553" s="5">
        <v>17.78</v>
      </c>
      <c r="D553" s="4">
        <v>68</v>
      </c>
      <c r="E553" s="5">
        <v>14.78</v>
      </c>
      <c r="F553" s="4">
        <v>159</v>
      </c>
      <c r="G553" s="5">
        <v>19.46</v>
      </c>
      <c r="H553" s="4">
        <v>0</v>
      </c>
    </row>
    <row r="554" spans="1:8" x14ac:dyDescent="0.2">
      <c r="A554" s="2" t="s">
        <v>81</v>
      </c>
      <c r="B554" s="4">
        <v>6</v>
      </c>
      <c r="C554" s="5">
        <v>0.47</v>
      </c>
      <c r="D554" s="4">
        <v>0</v>
      </c>
      <c r="E554" s="5">
        <v>0</v>
      </c>
      <c r="F554" s="4">
        <v>6</v>
      </c>
      <c r="G554" s="5">
        <v>0.73</v>
      </c>
      <c r="H554" s="4">
        <v>0</v>
      </c>
    </row>
    <row r="555" spans="1:8" x14ac:dyDescent="0.2">
      <c r="A555" s="2" t="s">
        <v>82</v>
      </c>
      <c r="B555" s="4">
        <v>213</v>
      </c>
      <c r="C555" s="5">
        <v>16.68</v>
      </c>
      <c r="D555" s="4">
        <v>72</v>
      </c>
      <c r="E555" s="5">
        <v>15.65</v>
      </c>
      <c r="F555" s="4">
        <v>141</v>
      </c>
      <c r="G555" s="5">
        <v>17.260000000000002</v>
      </c>
      <c r="H555" s="4">
        <v>0</v>
      </c>
    </row>
    <row r="556" spans="1:8" x14ac:dyDescent="0.2">
      <c r="A556" s="2" t="s">
        <v>83</v>
      </c>
      <c r="B556" s="4">
        <v>77</v>
      </c>
      <c r="C556" s="5">
        <v>6.03</v>
      </c>
      <c r="D556" s="4">
        <v>31</v>
      </c>
      <c r="E556" s="5">
        <v>6.74</v>
      </c>
      <c r="F556" s="4">
        <v>46</v>
      </c>
      <c r="G556" s="5">
        <v>5.63</v>
      </c>
      <c r="H556" s="4">
        <v>0</v>
      </c>
    </row>
    <row r="557" spans="1:8" x14ac:dyDescent="0.2">
      <c r="A557" s="2" t="s">
        <v>84</v>
      </c>
      <c r="B557" s="4">
        <v>86</v>
      </c>
      <c r="C557" s="5">
        <v>6.73</v>
      </c>
      <c r="D557" s="4">
        <v>61</v>
      </c>
      <c r="E557" s="5">
        <v>13.26</v>
      </c>
      <c r="F557" s="4">
        <v>25</v>
      </c>
      <c r="G557" s="5">
        <v>3.06</v>
      </c>
      <c r="H557" s="4">
        <v>0</v>
      </c>
    </row>
    <row r="558" spans="1:8" x14ac:dyDescent="0.2">
      <c r="A558" s="2" t="s">
        <v>85</v>
      </c>
      <c r="B558" s="4">
        <v>140</v>
      </c>
      <c r="C558" s="5">
        <v>10.96</v>
      </c>
      <c r="D558" s="4">
        <v>99</v>
      </c>
      <c r="E558" s="5">
        <v>21.52</v>
      </c>
      <c r="F558" s="4">
        <v>41</v>
      </c>
      <c r="G558" s="5">
        <v>5.0199999999999996</v>
      </c>
      <c r="H558" s="4">
        <v>0</v>
      </c>
    </row>
    <row r="559" spans="1:8" x14ac:dyDescent="0.2">
      <c r="A559" s="2" t="s">
        <v>86</v>
      </c>
      <c r="B559" s="4">
        <v>41</v>
      </c>
      <c r="C559" s="5">
        <v>3.21</v>
      </c>
      <c r="D559" s="4">
        <v>28</v>
      </c>
      <c r="E559" s="5">
        <v>6.09</v>
      </c>
      <c r="F559" s="4">
        <v>13</v>
      </c>
      <c r="G559" s="5">
        <v>1.59</v>
      </c>
      <c r="H559" s="4">
        <v>0</v>
      </c>
    </row>
    <row r="560" spans="1:8" x14ac:dyDescent="0.2">
      <c r="A560" s="2" t="s">
        <v>87</v>
      </c>
      <c r="B560" s="4">
        <v>62</v>
      </c>
      <c r="C560" s="5">
        <v>4.8600000000000003</v>
      </c>
      <c r="D560" s="4">
        <v>40</v>
      </c>
      <c r="E560" s="5">
        <v>8.6999999999999993</v>
      </c>
      <c r="F560" s="4">
        <v>22</v>
      </c>
      <c r="G560" s="5">
        <v>2.69</v>
      </c>
      <c r="H560" s="4">
        <v>0</v>
      </c>
    </row>
    <row r="561" spans="1:8" x14ac:dyDescent="0.2">
      <c r="A561" s="2" t="s">
        <v>88</v>
      </c>
      <c r="B561" s="4">
        <v>41</v>
      </c>
      <c r="C561" s="5">
        <v>3.21</v>
      </c>
      <c r="D561" s="4">
        <v>8</v>
      </c>
      <c r="E561" s="5">
        <v>1.74</v>
      </c>
      <c r="F561" s="4">
        <v>33</v>
      </c>
      <c r="G561" s="5">
        <v>4.04</v>
      </c>
      <c r="H561" s="4">
        <v>0</v>
      </c>
    </row>
    <row r="562" spans="1:8" x14ac:dyDescent="0.2">
      <c r="A562" s="1" t="s">
        <v>35</v>
      </c>
      <c r="B562" s="4">
        <v>1058</v>
      </c>
      <c r="C562" s="5">
        <v>100</v>
      </c>
      <c r="D562" s="4">
        <v>259</v>
      </c>
      <c r="E562" s="5">
        <v>100.00000000000001</v>
      </c>
      <c r="F562" s="4">
        <v>787</v>
      </c>
      <c r="G562" s="5">
        <v>100</v>
      </c>
      <c r="H562" s="4">
        <v>8</v>
      </c>
    </row>
    <row r="563" spans="1:8" x14ac:dyDescent="0.2">
      <c r="A563" s="2" t="s">
        <v>74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2">
      <c r="A564" s="2" t="s">
        <v>75</v>
      </c>
      <c r="B564" s="4">
        <v>217</v>
      </c>
      <c r="C564" s="5">
        <v>20.51</v>
      </c>
      <c r="D564" s="4">
        <v>27</v>
      </c>
      <c r="E564" s="5">
        <v>10.42</v>
      </c>
      <c r="F564" s="4">
        <v>190</v>
      </c>
      <c r="G564" s="5">
        <v>24.14</v>
      </c>
      <c r="H564" s="4">
        <v>0</v>
      </c>
    </row>
    <row r="565" spans="1:8" x14ac:dyDescent="0.2">
      <c r="A565" s="2" t="s">
        <v>76</v>
      </c>
      <c r="B565" s="4">
        <v>97</v>
      </c>
      <c r="C565" s="5">
        <v>9.17</v>
      </c>
      <c r="D565" s="4">
        <v>18</v>
      </c>
      <c r="E565" s="5">
        <v>6.95</v>
      </c>
      <c r="F565" s="4">
        <v>79</v>
      </c>
      <c r="G565" s="5">
        <v>10.039999999999999</v>
      </c>
      <c r="H565" s="4">
        <v>0</v>
      </c>
    </row>
    <row r="566" spans="1:8" x14ac:dyDescent="0.2">
      <c r="A566" s="2" t="s">
        <v>77</v>
      </c>
      <c r="B566" s="4">
        <v>0</v>
      </c>
      <c r="C566" s="5">
        <v>0</v>
      </c>
      <c r="D566" s="4">
        <v>0</v>
      </c>
      <c r="E566" s="5">
        <v>0</v>
      </c>
      <c r="F566" s="4">
        <v>0</v>
      </c>
      <c r="G566" s="5">
        <v>0</v>
      </c>
      <c r="H566" s="4">
        <v>0</v>
      </c>
    </row>
    <row r="567" spans="1:8" x14ac:dyDescent="0.2">
      <c r="A567" s="2" t="s">
        <v>78</v>
      </c>
      <c r="B567" s="4">
        <v>38</v>
      </c>
      <c r="C567" s="5">
        <v>3.59</v>
      </c>
      <c r="D567" s="4">
        <v>3</v>
      </c>
      <c r="E567" s="5">
        <v>1.1599999999999999</v>
      </c>
      <c r="F567" s="4">
        <v>35</v>
      </c>
      <c r="G567" s="5">
        <v>4.45</v>
      </c>
      <c r="H567" s="4">
        <v>0</v>
      </c>
    </row>
    <row r="568" spans="1:8" x14ac:dyDescent="0.2">
      <c r="A568" s="2" t="s">
        <v>79</v>
      </c>
      <c r="B568" s="4">
        <v>14</v>
      </c>
      <c r="C568" s="5">
        <v>1.32</v>
      </c>
      <c r="D568" s="4">
        <v>1</v>
      </c>
      <c r="E568" s="5">
        <v>0.39</v>
      </c>
      <c r="F568" s="4">
        <v>13</v>
      </c>
      <c r="G568" s="5">
        <v>1.65</v>
      </c>
      <c r="H568" s="4">
        <v>0</v>
      </c>
    </row>
    <row r="569" spans="1:8" x14ac:dyDescent="0.2">
      <c r="A569" s="2" t="s">
        <v>80</v>
      </c>
      <c r="B569" s="4">
        <v>177</v>
      </c>
      <c r="C569" s="5">
        <v>16.73</v>
      </c>
      <c r="D569" s="4">
        <v>52</v>
      </c>
      <c r="E569" s="5">
        <v>20.079999999999998</v>
      </c>
      <c r="F569" s="4">
        <v>125</v>
      </c>
      <c r="G569" s="5">
        <v>15.88</v>
      </c>
      <c r="H569" s="4">
        <v>0</v>
      </c>
    </row>
    <row r="570" spans="1:8" x14ac:dyDescent="0.2">
      <c r="A570" s="2" t="s">
        <v>81</v>
      </c>
      <c r="B570" s="4">
        <v>8</v>
      </c>
      <c r="C570" s="5">
        <v>0.76</v>
      </c>
      <c r="D570" s="4">
        <v>1</v>
      </c>
      <c r="E570" s="5">
        <v>0.39</v>
      </c>
      <c r="F570" s="4">
        <v>7</v>
      </c>
      <c r="G570" s="5">
        <v>0.89</v>
      </c>
      <c r="H570" s="4">
        <v>0</v>
      </c>
    </row>
    <row r="571" spans="1:8" x14ac:dyDescent="0.2">
      <c r="A571" s="2" t="s">
        <v>82</v>
      </c>
      <c r="B571" s="4">
        <v>156</v>
      </c>
      <c r="C571" s="5">
        <v>14.74</v>
      </c>
      <c r="D571" s="4">
        <v>7</v>
      </c>
      <c r="E571" s="5">
        <v>2.7</v>
      </c>
      <c r="F571" s="4">
        <v>146</v>
      </c>
      <c r="G571" s="5">
        <v>18.55</v>
      </c>
      <c r="H571" s="4">
        <v>1</v>
      </c>
    </row>
    <row r="572" spans="1:8" x14ac:dyDescent="0.2">
      <c r="A572" s="2" t="s">
        <v>83</v>
      </c>
      <c r="B572" s="4">
        <v>82</v>
      </c>
      <c r="C572" s="5">
        <v>7.75</v>
      </c>
      <c r="D572" s="4">
        <v>20</v>
      </c>
      <c r="E572" s="5">
        <v>7.72</v>
      </c>
      <c r="F572" s="4">
        <v>61</v>
      </c>
      <c r="G572" s="5">
        <v>7.75</v>
      </c>
      <c r="H572" s="4">
        <v>1</v>
      </c>
    </row>
    <row r="573" spans="1:8" x14ac:dyDescent="0.2">
      <c r="A573" s="2" t="s">
        <v>84</v>
      </c>
      <c r="B573" s="4">
        <v>62</v>
      </c>
      <c r="C573" s="5">
        <v>5.86</v>
      </c>
      <c r="D573" s="4">
        <v>38</v>
      </c>
      <c r="E573" s="5">
        <v>14.67</v>
      </c>
      <c r="F573" s="4">
        <v>24</v>
      </c>
      <c r="G573" s="5">
        <v>3.05</v>
      </c>
      <c r="H573" s="4">
        <v>0</v>
      </c>
    </row>
    <row r="574" spans="1:8" x14ac:dyDescent="0.2">
      <c r="A574" s="2" t="s">
        <v>85</v>
      </c>
      <c r="B574" s="4">
        <v>88</v>
      </c>
      <c r="C574" s="5">
        <v>8.32</v>
      </c>
      <c r="D574" s="4">
        <v>49</v>
      </c>
      <c r="E574" s="5">
        <v>18.920000000000002</v>
      </c>
      <c r="F574" s="4">
        <v>38</v>
      </c>
      <c r="G574" s="5">
        <v>4.83</v>
      </c>
      <c r="H574" s="4">
        <v>1</v>
      </c>
    </row>
    <row r="575" spans="1:8" x14ac:dyDescent="0.2">
      <c r="A575" s="2" t="s">
        <v>86</v>
      </c>
      <c r="B575" s="4">
        <v>38</v>
      </c>
      <c r="C575" s="5">
        <v>3.59</v>
      </c>
      <c r="D575" s="4">
        <v>19</v>
      </c>
      <c r="E575" s="5">
        <v>7.34</v>
      </c>
      <c r="F575" s="4">
        <v>18</v>
      </c>
      <c r="G575" s="5">
        <v>2.29</v>
      </c>
      <c r="H575" s="4">
        <v>0</v>
      </c>
    </row>
    <row r="576" spans="1:8" x14ac:dyDescent="0.2">
      <c r="A576" s="2" t="s">
        <v>87</v>
      </c>
      <c r="B576" s="4">
        <v>39</v>
      </c>
      <c r="C576" s="5">
        <v>3.69</v>
      </c>
      <c r="D576" s="4">
        <v>20</v>
      </c>
      <c r="E576" s="5">
        <v>7.72</v>
      </c>
      <c r="F576" s="4">
        <v>19</v>
      </c>
      <c r="G576" s="5">
        <v>2.41</v>
      </c>
      <c r="H576" s="4">
        <v>0</v>
      </c>
    </row>
    <row r="577" spans="1:8" x14ac:dyDescent="0.2">
      <c r="A577" s="2" t="s">
        <v>88</v>
      </c>
      <c r="B577" s="4">
        <v>42</v>
      </c>
      <c r="C577" s="5">
        <v>3.97</v>
      </c>
      <c r="D577" s="4">
        <v>4</v>
      </c>
      <c r="E577" s="5">
        <v>1.54</v>
      </c>
      <c r="F577" s="4">
        <v>32</v>
      </c>
      <c r="G577" s="5">
        <v>4.07</v>
      </c>
      <c r="H577" s="4">
        <v>5</v>
      </c>
    </row>
    <row r="578" spans="1:8" x14ac:dyDescent="0.2">
      <c r="A578" s="1" t="s">
        <v>36</v>
      </c>
      <c r="B578" s="4">
        <v>2715</v>
      </c>
      <c r="C578" s="5">
        <v>100.00999999999998</v>
      </c>
      <c r="D578" s="4">
        <v>886</v>
      </c>
      <c r="E578" s="5">
        <v>100</v>
      </c>
      <c r="F578" s="4">
        <v>1820</v>
      </c>
      <c r="G578" s="5">
        <v>100</v>
      </c>
      <c r="H578" s="4">
        <v>0</v>
      </c>
    </row>
    <row r="579" spans="1:8" x14ac:dyDescent="0.2">
      <c r="A579" s="2" t="s">
        <v>74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2">
      <c r="A580" s="2" t="s">
        <v>75</v>
      </c>
      <c r="B580" s="4">
        <v>671</v>
      </c>
      <c r="C580" s="5">
        <v>24.71</v>
      </c>
      <c r="D580" s="4">
        <v>88</v>
      </c>
      <c r="E580" s="5">
        <v>9.93</v>
      </c>
      <c r="F580" s="4">
        <v>583</v>
      </c>
      <c r="G580" s="5">
        <v>32.03</v>
      </c>
      <c r="H580" s="4">
        <v>0</v>
      </c>
    </row>
    <row r="581" spans="1:8" x14ac:dyDescent="0.2">
      <c r="A581" s="2" t="s">
        <v>76</v>
      </c>
      <c r="B581" s="4">
        <v>297</v>
      </c>
      <c r="C581" s="5">
        <v>10.94</v>
      </c>
      <c r="D581" s="4">
        <v>55</v>
      </c>
      <c r="E581" s="5">
        <v>6.21</v>
      </c>
      <c r="F581" s="4">
        <v>242</v>
      </c>
      <c r="G581" s="5">
        <v>13.3</v>
      </c>
      <c r="H581" s="4">
        <v>0</v>
      </c>
    </row>
    <row r="582" spans="1:8" x14ac:dyDescent="0.2">
      <c r="A582" s="2" t="s">
        <v>77</v>
      </c>
      <c r="B582" s="4">
        <v>1</v>
      </c>
      <c r="C582" s="5">
        <v>0.04</v>
      </c>
      <c r="D582" s="4">
        <v>0</v>
      </c>
      <c r="E582" s="5">
        <v>0</v>
      </c>
      <c r="F582" s="4">
        <v>0</v>
      </c>
      <c r="G582" s="5">
        <v>0</v>
      </c>
      <c r="H582" s="4">
        <v>0</v>
      </c>
    </row>
    <row r="583" spans="1:8" x14ac:dyDescent="0.2">
      <c r="A583" s="2" t="s">
        <v>78</v>
      </c>
      <c r="B583" s="4">
        <v>45</v>
      </c>
      <c r="C583" s="5">
        <v>1.66</v>
      </c>
      <c r="D583" s="4">
        <v>3</v>
      </c>
      <c r="E583" s="5">
        <v>0.34</v>
      </c>
      <c r="F583" s="4">
        <v>42</v>
      </c>
      <c r="G583" s="5">
        <v>2.31</v>
      </c>
      <c r="H583" s="4">
        <v>0</v>
      </c>
    </row>
    <row r="584" spans="1:8" x14ac:dyDescent="0.2">
      <c r="A584" s="2" t="s">
        <v>79</v>
      </c>
      <c r="B584" s="4">
        <v>42</v>
      </c>
      <c r="C584" s="5">
        <v>1.55</v>
      </c>
      <c r="D584" s="4">
        <v>2</v>
      </c>
      <c r="E584" s="5">
        <v>0.23</v>
      </c>
      <c r="F584" s="4">
        <v>40</v>
      </c>
      <c r="G584" s="5">
        <v>2.2000000000000002</v>
      </c>
      <c r="H584" s="4">
        <v>0</v>
      </c>
    </row>
    <row r="585" spans="1:8" x14ac:dyDescent="0.2">
      <c r="A585" s="2" t="s">
        <v>80</v>
      </c>
      <c r="B585" s="4">
        <v>469</v>
      </c>
      <c r="C585" s="5">
        <v>17.27</v>
      </c>
      <c r="D585" s="4">
        <v>175</v>
      </c>
      <c r="E585" s="5">
        <v>19.75</v>
      </c>
      <c r="F585" s="4">
        <v>294</v>
      </c>
      <c r="G585" s="5">
        <v>16.149999999999999</v>
      </c>
      <c r="H585" s="4">
        <v>0</v>
      </c>
    </row>
    <row r="586" spans="1:8" x14ac:dyDescent="0.2">
      <c r="A586" s="2" t="s">
        <v>81</v>
      </c>
      <c r="B586" s="4">
        <v>14</v>
      </c>
      <c r="C586" s="5">
        <v>0.52</v>
      </c>
      <c r="D586" s="4">
        <v>0</v>
      </c>
      <c r="E586" s="5">
        <v>0</v>
      </c>
      <c r="F586" s="4">
        <v>14</v>
      </c>
      <c r="G586" s="5">
        <v>0.77</v>
      </c>
      <c r="H586" s="4">
        <v>0</v>
      </c>
    </row>
    <row r="587" spans="1:8" x14ac:dyDescent="0.2">
      <c r="A587" s="2" t="s">
        <v>82</v>
      </c>
      <c r="B587" s="4">
        <v>282</v>
      </c>
      <c r="C587" s="5">
        <v>10.39</v>
      </c>
      <c r="D587" s="4">
        <v>40</v>
      </c>
      <c r="E587" s="5">
        <v>4.51</v>
      </c>
      <c r="F587" s="4">
        <v>242</v>
      </c>
      <c r="G587" s="5">
        <v>13.3</v>
      </c>
      <c r="H587" s="4">
        <v>0</v>
      </c>
    </row>
    <row r="588" spans="1:8" x14ac:dyDescent="0.2">
      <c r="A588" s="2" t="s">
        <v>83</v>
      </c>
      <c r="B588" s="4">
        <v>131</v>
      </c>
      <c r="C588" s="5">
        <v>4.83</v>
      </c>
      <c r="D588" s="4">
        <v>50</v>
      </c>
      <c r="E588" s="5">
        <v>5.64</v>
      </c>
      <c r="F588" s="4">
        <v>81</v>
      </c>
      <c r="G588" s="5">
        <v>4.45</v>
      </c>
      <c r="H588" s="4">
        <v>0</v>
      </c>
    </row>
    <row r="589" spans="1:8" x14ac:dyDescent="0.2">
      <c r="A589" s="2" t="s">
        <v>84</v>
      </c>
      <c r="B589" s="4">
        <v>179</v>
      </c>
      <c r="C589" s="5">
        <v>6.59</v>
      </c>
      <c r="D589" s="4">
        <v>126</v>
      </c>
      <c r="E589" s="5">
        <v>14.22</v>
      </c>
      <c r="F589" s="4">
        <v>53</v>
      </c>
      <c r="G589" s="5">
        <v>2.91</v>
      </c>
      <c r="H589" s="4">
        <v>0</v>
      </c>
    </row>
    <row r="590" spans="1:8" x14ac:dyDescent="0.2">
      <c r="A590" s="2" t="s">
        <v>85</v>
      </c>
      <c r="B590" s="4">
        <v>275</v>
      </c>
      <c r="C590" s="5">
        <v>10.130000000000001</v>
      </c>
      <c r="D590" s="4">
        <v>194</v>
      </c>
      <c r="E590" s="5">
        <v>21.9</v>
      </c>
      <c r="F590" s="4">
        <v>81</v>
      </c>
      <c r="G590" s="5">
        <v>4.45</v>
      </c>
      <c r="H590" s="4">
        <v>0</v>
      </c>
    </row>
    <row r="591" spans="1:8" x14ac:dyDescent="0.2">
      <c r="A591" s="2" t="s">
        <v>86</v>
      </c>
      <c r="B591" s="4">
        <v>94</v>
      </c>
      <c r="C591" s="5">
        <v>3.46</v>
      </c>
      <c r="D591" s="4">
        <v>53</v>
      </c>
      <c r="E591" s="5">
        <v>5.98</v>
      </c>
      <c r="F591" s="4">
        <v>37</v>
      </c>
      <c r="G591" s="5">
        <v>2.0299999999999998</v>
      </c>
      <c r="H591" s="4">
        <v>0</v>
      </c>
    </row>
    <row r="592" spans="1:8" x14ac:dyDescent="0.2">
      <c r="A592" s="2" t="s">
        <v>87</v>
      </c>
      <c r="B592" s="4">
        <v>126</v>
      </c>
      <c r="C592" s="5">
        <v>4.6399999999999997</v>
      </c>
      <c r="D592" s="4">
        <v>79</v>
      </c>
      <c r="E592" s="5">
        <v>8.92</v>
      </c>
      <c r="F592" s="4">
        <v>45</v>
      </c>
      <c r="G592" s="5">
        <v>2.4700000000000002</v>
      </c>
      <c r="H592" s="4">
        <v>0</v>
      </c>
    </row>
    <row r="593" spans="1:8" x14ac:dyDescent="0.2">
      <c r="A593" s="2" t="s">
        <v>88</v>
      </c>
      <c r="B593" s="4">
        <v>89</v>
      </c>
      <c r="C593" s="5">
        <v>3.28</v>
      </c>
      <c r="D593" s="4">
        <v>21</v>
      </c>
      <c r="E593" s="5">
        <v>2.37</v>
      </c>
      <c r="F593" s="4">
        <v>66</v>
      </c>
      <c r="G593" s="5">
        <v>3.63</v>
      </c>
      <c r="H593" s="4">
        <v>0</v>
      </c>
    </row>
    <row r="594" spans="1:8" x14ac:dyDescent="0.2">
      <c r="A594" s="1" t="s">
        <v>37</v>
      </c>
      <c r="B594" s="4">
        <v>1293</v>
      </c>
      <c r="C594" s="5">
        <v>100.01</v>
      </c>
      <c r="D594" s="4">
        <v>583</v>
      </c>
      <c r="E594" s="5">
        <v>99.980000000000018</v>
      </c>
      <c r="F594" s="4">
        <v>702</v>
      </c>
      <c r="G594" s="5">
        <v>99.999999999999986</v>
      </c>
      <c r="H594" s="4">
        <v>3</v>
      </c>
    </row>
    <row r="595" spans="1:8" x14ac:dyDescent="0.2">
      <c r="A595" s="2" t="s">
        <v>74</v>
      </c>
      <c r="B595" s="4">
        <v>0</v>
      </c>
      <c r="C595" s="5">
        <v>0</v>
      </c>
      <c r="D595" s="4">
        <v>0</v>
      </c>
      <c r="E595" s="5">
        <v>0</v>
      </c>
      <c r="F595" s="4">
        <v>0</v>
      </c>
      <c r="G595" s="5">
        <v>0</v>
      </c>
      <c r="H595" s="4">
        <v>0</v>
      </c>
    </row>
    <row r="596" spans="1:8" x14ac:dyDescent="0.2">
      <c r="A596" s="2" t="s">
        <v>75</v>
      </c>
      <c r="B596" s="4">
        <v>198</v>
      </c>
      <c r="C596" s="5">
        <v>15.31</v>
      </c>
      <c r="D596" s="4">
        <v>54</v>
      </c>
      <c r="E596" s="5">
        <v>9.26</v>
      </c>
      <c r="F596" s="4">
        <v>144</v>
      </c>
      <c r="G596" s="5">
        <v>20.51</v>
      </c>
      <c r="H596" s="4">
        <v>0</v>
      </c>
    </row>
    <row r="597" spans="1:8" x14ac:dyDescent="0.2">
      <c r="A597" s="2" t="s">
        <v>76</v>
      </c>
      <c r="B597" s="4">
        <v>95</v>
      </c>
      <c r="C597" s="5">
        <v>7.35</v>
      </c>
      <c r="D597" s="4">
        <v>22</v>
      </c>
      <c r="E597" s="5">
        <v>3.77</v>
      </c>
      <c r="F597" s="4">
        <v>73</v>
      </c>
      <c r="G597" s="5">
        <v>10.4</v>
      </c>
      <c r="H597" s="4">
        <v>0</v>
      </c>
    </row>
    <row r="598" spans="1:8" x14ac:dyDescent="0.2">
      <c r="A598" s="2" t="s">
        <v>77</v>
      </c>
      <c r="B598" s="4">
        <v>0</v>
      </c>
      <c r="C598" s="5">
        <v>0</v>
      </c>
      <c r="D598" s="4">
        <v>0</v>
      </c>
      <c r="E598" s="5">
        <v>0</v>
      </c>
      <c r="F598" s="4">
        <v>0</v>
      </c>
      <c r="G598" s="5">
        <v>0</v>
      </c>
      <c r="H598" s="4">
        <v>0</v>
      </c>
    </row>
    <row r="599" spans="1:8" x14ac:dyDescent="0.2">
      <c r="A599" s="2" t="s">
        <v>78</v>
      </c>
      <c r="B599" s="4">
        <v>13</v>
      </c>
      <c r="C599" s="5">
        <v>1.01</v>
      </c>
      <c r="D599" s="4">
        <v>0</v>
      </c>
      <c r="E599" s="5">
        <v>0</v>
      </c>
      <c r="F599" s="4">
        <v>13</v>
      </c>
      <c r="G599" s="5">
        <v>1.85</v>
      </c>
      <c r="H599" s="4">
        <v>0</v>
      </c>
    </row>
    <row r="600" spans="1:8" x14ac:dyDescent="0.2">
      <c r="A600" s="2" t="s">
        <v>79</v>
      </c>
      <c r="B600" s="4">
        <v>15</v>
      </c>
      <c r="C600" s="5">
        <v>1.1599999999999999</v>
      </c>
      <c r="D600" s="4">
        <v>2</v>
      </c>
      <c r="E600" s="5">
        <v>0.34</v>
      </c>
      <c r="F600" s="4">
        <v>13</v>
      </c>
      <c r="G600" s="5">
        <v>1.85</v>
      </c>
      <c r="H600" s="4">
        <v>0</v>
      </c>
    </row>
    <row r="601" spans="1:8" x14ac:dyDescent="0.2">
      <c r="A601" s="2" t="s">
        <v>80</v>
      </c>
      <c r="B601" s="4">
        <v>251</v>
      </c>
      <c r="C601" s="5">
        <v>19.41</v>
      </c>
      <c r="D601" s="4">
        <v>85</v>
      </c>
      <c r="E601" s="5">
        <v>14.58</v>
      </c>
      <c r="F601" s="4">
        <v>166</v>
      </c>
      <c r="G601" s="5">
        <v>23.65</v>
      </c>
      <c r="H601" s="4">
        <v>0</v>
      </c>
    </row>
    <row r="602" spans="1:8" x14ac:dyDescent="0.2">
      <c r="A602" s="2" t="s">
        <v>81</v>
      </c>
      <c r="B602" s="4">
        <v>7</v>
      </c>
      <c r="C602" s="5">
        <v>0.54</v>
      </c>
      <c r="D602" s="4">
        <v>2</v>
      </c>
      <c r="E602" s="5">
        <v>0.34</v>
      </c>
      <c r="F602" s="4">
        <v>5</v>
      </c>
      <c r="G602" s="5">
        <v>0.71</v>
      </c>
      <c r="H602" s="4">
        <v>0</v>
      </c>
    </row>
    <row r="603" spans="1:8" x14ac:dyDescent="0.2">
      <c r="A603" s="2" t="s">
        <v>82</v>
      </c>
      <c r="B603" s="4">
        <v>160</v>
      </c>
      <c r="C603" s="5">
        <v>12.37</v>
      </c>
      <c r="D603" s="4">
        <v>42</v>
      </c>
      <c r="E603" s="5">
        <v>7.2</v>
      </c>
      <c r="F603" s="4">
        <v>118</v>
      </c>
      <c r="G603" s="5">
        <v>16.809999999999999</v>
      </c>
      <c r="H603" s="4">
        <v>0</v>
      </c>
    </row>
    <row r="604" spans="1:8" x14ac:dyDescent="0.2">
      <c r="A604" s="2" t="s">
        <v>83</v>
      </c>
      <c r="B604" s="4">
        <v>67</v>
      </c>
      <c r="C604" s="5">
        <v>5.18</v>
      </c>
      <c r="D604" s="4">
        <v>33</v>
      </c>
      <c r="E604" s="5">
        <v>5.66</v>
      </c>
      <c r="F604" s="4">
        <v>31</v>
      </c>
      <c r="G604" s="5">
        <v>4.42</v>
      </c>
      <c r="H604" s="4">
        <v>1</v>
      </c>
    </row>
    <row r="605" spans="1:8" x14ac:dyDescent="0.2">
      <c r="A605" s="2" t="s">
        <v>84</v>
      </c>
      <c r="B605" s="4">
        <v>114</v>
      </c>
      <c r="C605" s="5">
        <v>8.82</v>
      </c>
      <c r="D605" s="4">
        <v>87</v>
      </c>
      <c r="E605" s="5">
        <v>14.92</v>
      </c>
      <c r="F605" s="4">
        <v>27</v>
      </c>
      <c r="G605" s="5">
        <v>3.85</v>
      </c>
      <c r="H605" s="4">
        <v>0</v>
      </c>
    </row>
    <row r="606" spans="1:8" x14ac:dyDescent="0.2">
      <c r="A606" s="2" t="s">
        <v>85</v>
      </c>
      <c r="B606" s="4">
        <v>200</v>
      </c>
      <c r="C606" s="5">
        <v>15.47</v>
      </c>
      <c r="D606" s="4">
        <v>158</v>
      </c>
      <c r="E606" s="5">
        <v>27.1</v>
      </c>
      <c r="F606" s="4">
        <v>42</v>
      </c>
      <c r="G606" s="5">
        <v>5.98</v>
      </c>
      <c r="H606" s="4">
        <v>0</v>
      </c>
    </row>
    <row r="607" spans="1:8" x14ac:dyDescent="0.2">
      <c r="A607" s="2" t="s">
        <v>86</v>
      </c>
      <c r="B607" s="4">
        <v>77</v>
      </c>
      <c r="C607" s="5">
        <v>5.96</v>
      </c>
      <c r="D607" s="4">
        <v>45</v>
      </c>
      <c r="E607" s="5">
        <v>7.72</v>
      </c>
      <c r="F607" s="4">
        <v>28</v>
      </c>
      <c r="G607" s="5">
        <v>3.99</v>
      </c>
      <c r="H607" s="4">
        <v>1</v>
      </c>
    </row>
    <row r="608" spans="1:8" x14ac:dyDescent="0.2">
      <c r="A608" s="2" t="s">
        <v>87</v>
      </c>
      <c r="B608" s="4">
        <v>50</v>
      </c>
      <c r="C608" s="5">
        <v>3.87</v>
      </c>
      <c r="D608" s="4">
        <v>36</v>
      </c>
      <c r="E608" s="5">
        <v>6.17</v>
      </c>
      <c r="F608" s="4">
        <v>14</v>
      </c>
      <c r="G608" s="5">
        <v>1.99</v>
      </c>
      <c r="H608" s="4">
        <v>0</v>
      </c>
    </row>
    <row r="609" spans="1:8" x14ac:dyDescent="0.2">
      <c r="A609" s="2" t="s">
        <v>88</v>
      </c>
      <c r="B609" s="4">
        <v>46</v>
      </c>
      <c r="C609" s="5">
        <v>3.56</v>
      </c>
      <c r="D609" s="4">
        <v>17</v>
      </c>
      <c r="E609" s="5">
        <v>2.92</v>
      </c>
      <c r="F609" s="4">
        <v>28</v>
      </c>
      <c r="G609" s="5">
        <v>3.99</v>
      </c>
      <c r="H609" s="4">
        <v>1</v>
      </c>
    </row>
    <row r="610" spans="1:8" x14ac:dyDescent="0.2">
      <c r="A610" s="1" t="s">
        <v>38</v>
      </c>
      <c r="B610" s="4">
        <v>2576</v>
      </c>
      <c r="C610" s="5">
        <v>100.02000000000001</v>
      </c>
      <c r="D610" s="4">
        <v>1252</v>
      </c>
      <c r="E610" s="5">
        <v>100</v>
      </c>
      <c r="F610" s="4">
        <v>1307</v>
      </c>
      <c r="G610" s="5">
        <v>100</v>
      </c>
      <c r="H610" s="4">
        <v>0</v>
      </c>
    </row>
    <row r="611" spans="1:8" x14ac:dyDescent="0.2">
      <c r="A611" s="2" t="s">
        <v>74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2">
      <c r="A612" s="2" t="s">
        <v>75</v>
      </c>
      <c r="B612" s="4">
        <v>417</v>
      </c>
      <c r="C612" s="5">
        <v>16.190000000000001</v>
      </c>
      <c r="D612" s="4">
        <v>116</v>
      </c>
      <c r="E612" s="5">
        <v>9.27</v>
      </c>
      <c r="F612" s="4">
        <v>301</v>
      </c>
      <c r="G612" s="5">
        <v>23.03</v>
      </c>
      <c r="H612" s="4">
        <v>0</v>
      </c>
    </row>
    <row r="613" spans="1:8" x14ac:dyDescent="0.2">
      <c r="A613" s="2" t="s">
        <v>76</v>
      </c>
      <c r="B613" s="4">
        <v>211</v>
      </c>
      <c r="C613" s="5">
        <v>8.19</v>
      </c>
      <c r="D613" s="4">
        <v>62</v>
      </c>
      <c r="E613" s="5">
        <v>4.95</v>
      </c>
      <c r="F613" s="4">
        <v>149</v>
      </c>
      <c r="G613" s="5">
        <v>11.4</v>
      </c>
      <c r="H613" s="4">
        <v>0</v>
      </c>
    </row>
    <row r="614" spans="1:8" x14ac:dyDescent="0.2">
      <c r="A614" s="2" t="s">
        <v>77</v>
      </c>
      <c r="B614" s="4">
        <v>3</v>
      </c>
      <c r="C614" s="5">
        <v>0.12</v>
      </c>
      <c r="D614" s="4">
        <v>0</v>
      </c>
      <c r="E614" s="5">
        <v>0</v>
      </c>
      <c r="F614" s="4">
        <v>3</v>
      </c>
      <c r="G614" s="5">
        <v>0.23</v>
      </c>
      <c r="H614" s="4">
        <v>0</v>
      </c>
    </row>
    <row r="615" spans="1:8" x14ac:dyDescent="0.2">
      <c r="A615" s="2" t="s">
        <v>78</v>
      </c>
      <c r="B615" s="4">
        <v>17</v>
      </c>
      <c r="C615" s="5">
        <v>0.66</v>
      </c>
      <c r="D615" s="4">
        <v>0</v>
      </c>
      <c r="E615" s="5">
        <v>0</v>
      </c>
      <c r="F615" s="4">
        <v>17</v>
      </c>
      <c r="G615" s="5">
        <v>1.3</v>
      </c>
      <c r="H615" s="4">
        <v>0</v>
      </c>
    </row>
    <row r="616" spans="1:8" x14ac:dyDescent="0.2">
      <c r="A616" s="2" t="s">
        <v>79</v>
      </c>
      <c r="B616" s="4">
        <v>28</v>
      </c>
      <c r="C616" s="5">
        <v>1.0900000000000001</v>
      </c>
      <c r="D616" s="4">
        <v>3</v>
      </c>
      <c r="E616" s="5">
        <v>0.24</v>
      </c>
      <c r="F616" s="4">
        <v>25</v>
      </c>
      <c r="G616" s="5">
        <v>1.91</v>
      </c>
      <c r="H616" s="4">
        <v>0</v>
      </c>
    </row>
    <row r="617" spans="1:8" x14ac:dyDescent="0.2">
      <c r="A617" s="2" t="s">
        <v>80</v>
      </c>
      <c r="B617" s="4">
        <v>605</v>
      </c>
      <c r="C617" s="5">
        <v>23.49</v>
      </c>
      <c r="D617" s="4">
        <v>246</v>
      </c>
      <c r="E617" s="5">
        <v>19.649999999999999</v>
      </c>
      <c r="F617" s="4">
        <v>359</v>
      </c>
      <c r="G617" s="5">
        <v>27.47</v>
      </c>
      <c r="H617" s="4">
        <v>0</v>
      </c>
    </row>
    <row r="618" spans="1:8" x14ac:dyDescent="0.2">
      <c r="A618" s="2" t="s">
        <v>81</v>
      </c>
      <c r="B618" s="4">
        <v>13</v>
      </c>
      <c r="C618" s="5">
        <v>0.5</v>
      </c>
      <c r="D618" s="4">
        <v>3</v>
      </c>
      <c r="E618" s="5">
        <v>0.24</v>
      </c>
      <c r="F618" s="4">
        <v>10</v>
      </c>
      <c r="G618" s="5">
        <v>0.77</v>
      </c>
      <c r="H618" s="4">
        <v>0</v>
      </c>
    </row>
    <row r="619" spans="1:8" x14ac:dyDescent="0.2">
      <c r="A619" s="2" t="s">
        <v>82</v>
      </c>
      <c r="B619" s="4">
        <v>246</v>
      </c>
      <c r="C619" s="5">
        <v>9.5500000000000007</v>
      </c>
      <c r="D619" s="4">
        <v>102</v>
      </c>
      <c r="E619" s="5">
        <v>8.15</v>
      </c>
      <c r="F619" s="4">
        <v>144</v>
      </c>
      <c r="G619" s="5">
        <v>11.02</v>
      </c>
      <c r="H619" s="4">
        <v>0</v>
      </c>
    </row>
    <row r="620" spans="1:8" x14ac:dyDescent="0.2">
      <c r="A620" s="2" t="s">
        <v>83</v>
      </c>
      <c r="B620" s="4">
        <v>111</v>
      </c>
      <c r="C620" s="5">
        <v>4.3099999999999996</v>
      </c>
      <c r="D620" s="4">
        <v>52</v>
      </c>
      <c r="E620" s="5">
        <v>4.1500000000000004</v>
      </c>
      <c r="F620" s="4">
        <v>59</v>
      </c>
      <c r="G620" s="5">
        <v>4.51</v>
      </c>
      <c r="H620" s="4">
        <v>0</v>
      </c>
    </row>
    <row r="621" spans="1:8" x14ac:dyDescent="0.2">
      <c r="A621" s="2" t="s">
        <v>84</v>
      </c>
      <c r="B621" s="4">
        <v>190</v>
      </c>
      <c r="C621" s="5">
        <v>7.38</v>
      </c>
      <c r="D621" s="4">
        <v>153</v>
      </c>
      <c r="E621" s="5">
        <v>12.22</v>
      </c>
      <c r="F621" s="4">
        <v>36</v>
      </c>
      <c r="G621" s="5">
        <v>2.75</v>
      </c>
      <c r="H621" s="4">
        <v>0</v>
      </c>
    </row>
    <row r="622" spans="1:8" x14ac:dyDescent="0.2">
      <c r="A622" s="2" t="s">
        <v>85</v>
      </c>
      <c r="B622" s="4">
        <v>377</v>
      </c>
      <c r="C622" s="5">
        <v>14.64</v>
      </c>
      <c r="D622" s="4">
        <v>293</v>
      </c>
      <c r="E622" s="5">
        <v>23.4</v>
      </c>
      <c r="F622" s="4">
        <v>84</v>
      </c>
      <c r="G622" s="5">
        <v>6.43</v>
      </c>
      <c r="H622" s="4">
        <v>0</v>
      </c>
    </row>
    <row r="623" spans="1:8" x14ac:dyDescent="0.2">
      <c r="A623" s="2" t="s">
        <v>86</v>
      </c>
      <c r="B623" s="4">
        <v>104</v>
      </c>
      <c r="C623" s="5">
        <v>4.04</v>
      </c>
      <c r="D623" s="4">
        <v>76</v>
      </c>
      <c r="E623" s="5">
        <v>6.07</v>
      </c>
      <c r="F623" s="4">
        <v>22</v>
      </c>
      <c r="G623" s="5">
        <v>1.68</v>
      </c>
      <c r="H623" s="4">
        <v>0</v>
      </c>
    </row>
    <row r="624" spans="1:8" x14ac:dyDescent="0.2">
      <c r="A624" s="2" t="s">
        <v>87</v>
      </c>
      <c r="B624" s="4">
        <v>153</v>
      </c>
      <c r="C624" s="5">
        <v>5.94</v>
      </c>
      <c r="D624" s="4">
        <v>97</v>
      </c>
      <c r="E624" s="5">
        <v>7.75</v>
      </c>
      <c r="F624" s="4">
        <v>51</v>
      </c>
      <c r="G624" s="5">
        <v>3.9</v>
      </c>
      <c r="H624" s="4">
        <v>0</v>
      </c>
    </row>
    <row r="625" spans="1:8" x14ac:dyDescent="0.2">
      <c r="A625" s="2" t="s">
        <v>88</v>
      </c>
      <c r="B625" s="4">
        <v>101</v>
      </c>
      <c r="C625" s="5">
        <v>3.92</v>
      </c>
      <c r="D625" s="4">
        <v>49</v>
      </c>
      <c r="E625" s="5">
        <v>3.91</v>
      </c>
      <c r="F625" s="4">
        <v>47</v>
      </c>
      <c r="G625" s="5">
        <v>3.6</v>
      </c>
      <c r="H625" s="4">
        <v>0</v>
      </c>
    </row>
    <row r="626" spans="1:8" x14ac:dyDescent="0.2">
      <c r="A626" s="1" t="s">
        <v>39</v>
      </c>
      <c r="B626" s="4">
        <v>1131</v>
      </c>
      <c r="C626" s="5">
        <v>100</v>
      </c>
      <c r="D626" s="4">
        <v>537</v>
      </c>
      <c r="E626" s="5">
        <v>100.01</v>
      </c>
      <c r="F626" s="4">
        <v>591</v>
      </c>
      <c r="G626" s="5">
        <v>100</v>
      </c>
      <c r="H626" s="4">
        <v>1</v>
      </c>
    </row>
    <row r="627" spans="1:8" x14ac:dyDescent="0.2">
      <c r="A627" s="2" t="s">
        <v>74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2">
      <c r="A628" s="2" t="s">
        <v>75</v>
      </c>
      <c r="B628" s="4">
        <v>178</v>
      </c>
      <c r="C628" s="5">
        <v>15.74</v>
      </c>
      <c r="D628" s="4">
        <v>42</v>
      </c>
      <c r="E628" s="5">
        <v>7.82</v>
      </c>
      <c r="F628" s="4">
        <v>136</v>
      </c>
      <c r="G628" s="5">
        <v>23.01</v>
      </c>
      <c r="H628" s="4">
        <v>0</v>
      </c>
    </row>
    <row r="629" spans="1:8" x14ac:dyDescent="0.2">
      <c r="A629" s="2" t="s">
        <v>76</v>
      </c>
      <c r="B629" s="4">
        <v>102</v>
      </c>
      <c r="C629" s="5">
        <v>9.02</v>
      </c>
      <c r="D629" s="4">
        <v>27</v>
      </c>
      <c r="E629" s="5">
        <v>5.03</v>
      </c>
      <c r="F629" s="4">
        <v>75</v>
      </c>
      <c r="G629" s="5">
        <v>12.69</v>
      </c>
      <c r="H629" s="4">
        <v>0</v>
      </c>
    </row>
    <row r="630" spans="1:8" x14ac:dyDescent="0.2">
      <c r="A630" s="2" t="s">
        <v>77</v>
      </c>
      <c r="B630" s="4">
        <v>0</v>
      </c>
      <c r="C630" s="5">
        <v>0</v>
      </c>
      <c r="D630" s="4">
        <v>0</v>
      </c>
      <c r="E630" s="5">
        <v>0</v>
      </c>
      <c r="F630" s="4">
        <v>0</v>
      </c>
      <c r="G630" s="5">
        <v>0</v>
      </c>
      <c r="H630" s="4">
        <v>0</v>
      </c>
    </row>
    <row r="631" spans="1:8" x14ac:dyDescent="0.2">
      <c r="A631" s="2" t="s">
        <v>78</v>
      </c>
      <c r="B631" s="4">
        <v>12</v>
      </c>
      <c r="C631" s="5">
        <v>1.06</v>
      </c>
      <c r="D631" s="4">
        <v>0</v>
      </c>
      <c r="E631" s="5">
        <v>0</v>
      </c>
      <c r="F631" s="4">
        <v>12</v>
      </c>
      <c r="G631" s="5">
        <v>2.0299999999999998</v>
      </c>
      <c r="H631" s="4">
        <v>0</v>
      </c>
    </row>
    <row r="632" spans="1:8" x14ac:dyDescent="0.2">
      <c r="A632" s="2" t="s">
        <v>79</v>
      </c>
      <c r="B632" s="4">
        <v>7</v>
      </c>
      <c r="C632" s="5">
        <v>0.62</v>
      </c>
      <c r="D632" s="4">
        <v>0</v>
      </c>
      <c r="E632" s="5">
        <v>0</v>
      </c>
      <c r="F632" s="4">
        <v>6</v>
      </c>
      <c r="G632" s="5">
        <v>1.02</v>
      </c>
      <c r="H632" s="4">
        <v>0</v>
      </c>
    </row>
    <row r="633" spans="1:8" x14ac:dyDescent="0.2">
      <c r="A633" s="2" t="s">
        <v>80</v>
      </c>
      <c r="B633" s="4">
        <v>222</v>
      </c>
      <c r="C633" s="5">
        <v>19.63</v>
      </c>
      <c r="D633" s="4">
        <v>99</v>
      </c>
      <c r="E633" s="5">
        <v>18.440000000000001</v>
      </c>
      <c r="F633" s="4">
        <v>123</v>
      </c>
      <c r="G633" s="5">
        <v>20.81</v>
      </c>
      <c r="H633" s="4">
        <v>0</v>
      </c>
    </row>
    <row r="634" spans="1:8" x14ac:dyDescent="0.2">
      <c r="A634" s="2" t="s">
        <v>81</v>
      </c>
      <c r="B634" s="4">
        <v>6</v>
      </c>
      <c r="C634" s="5">
        <v>0.53</v>
      </c>
      <c r="D634" s="4">
        <v>1</v>
      </c>
      <c r="E634" s="5">
        <v>0.19</v>
      </c>
      <c r="F634" s="4">
        <v>5</v>
      </c>
      <c r="G634" s="5">
        <v>0.85</v>
      </c>
      <c r="H634" s="4">
        <v>0</v>
      </c>
    </row>
    <row r="635" spans="1:8" x14ac:dyDescent="0.2">
      <c r="A635" s="2" t="s">
        <v>82</v>
      </c>
      <c r="B635" s="4">
        <v>116</v>
      </c>
      <c r="C635" s="5">
        <v>10.26</v>
      </c>
      <c r="D635" s="4">
        <v>31</v>
      </c>
      <c r="E635" s="5">
        <v>5.77</v>
      </c>
      <c r="F635" s="4">
        <v>84</v>
      </c>
      <c r="G635" s="5">
        <v>14.21</v>
      </c>
      <c r="H635" s="4">
        <v>0</v>
      </c>
    </row>
    <row r="636" spans="1:8" x14ac:dyDescent="0.2">
      <c r="A636" s="2" t="s">
        <v>83</v>
      </c>
      <c r="B636" s="4">
        <v>56</v>
      </c>
      <c r="C636" s="5">
        <v>4.95</v>
      </c>
      <c r="D636" s="4">
        <v>28</v>
      </c>
      <c r="E636" s="5">
        <v>5.21</v>
      </c>
      <c r="F636" s="4">
        <v>28</v>
      </c>
      <c r="G636" s="5">
        <v>4.74</v>
      </c>
      <c r="H636" s="4">
        <v>0</v>
      </c>
    </row>
    <row r="637" spans="1:8" x14ac:dyDescent="0.2">
      <c r="A637" s="2" t="s">
        <v>84</v>
      </c>
      <c r="B637" s="4">
        <v>95</v>
      </c>
      <c r="C637" s="5">
        <v>8.4</v>
      </c>
      <c r="D637" s="4">
        <v>73</v>
      </c>
      <c r="E637" s="5">
        <v>13.59</v>
      </c>
      <c r="F637" s="4">
        <v>22</v>
      </c>
      <c r="G637" s="5">
        <v>3.72</v>
      </c>
      <c r="H637" s="4">
        <v>0</v>
      </c>
    </row>
    <row r="638" spans="1:8" x14ac:dyDescent="0.2">
      <c r="A638" s="2" t="s">
        <v>85</v>
      </c>
      <c r="B638" s="4">
        <v>176</v>
      </c>
      <c r="C638" s="5">
        <v>15.56</v>
      </c>
      <c r="D638" s="4">
        <v>135</v>
      </c>
      <c r="E638" s="5">
        <v>25.14</v>
      </c>
      <c r="F638" s="4">
        <v>41</v>
      </c>
      <c r="G638" s="5">
        <v>6.94</v>
      </c>
      <c r="H638" s="4">
        <v>0</v>
      </c>
    </row>
    <row r="639" spans="1:8" x14ac:dyDescent="0.2">
      <c r="A639" s="2" t="s">
        <v>86</v>
      </c>
      <c r="B639" s="4">
        <v>48</v>
      </c>
      <c r="C639" s="5">
        <v>4.24</v>
      </c>
      <c r="D639" s="4">
        <v>33</v>
      </c>
      <c r="E639" s="5">
        <v>6.15</v>
      </c>
      <c r="F639" s="4">
        <v>15</v>
      </c>
      <c r="G639" s="5">
        <v>2.54</v>
      </c>
      <c r="H639" s="4">
        <v>0</v>
      </c>
    </row>
    <row r="640" spans="1:8" x14ac:dyDescent="0.2">
      <c r="A640" s="2" t="s">
        <v>87</v>
      </c>
      <c r="B640" s="4">
        <v>74</v>
      </c>
      <c r="C640" s="5">
        <v>6.54</v>
      </c>
      <c r="D640" s="4">
        <v>51</v>
      </c>
      <c r="E640" s="5">
        <v>9.5</v>
      </c>
      <c r="F640" s="4">
        <v>23</v>
      </c>
      <c r="G640" s="5">
        <v>3.89</v>
      </c>
      <c r="H640" s="4">
        <v>0</v>
      </c>
    </row>
    <row r="641" spans="1:8" x14ac:dyDescent="0.2">
      <c r="A641" s="2" t="s">
        <v>88</v>
      </c>
      <c r="B641" s="4">
        <v>39</v>
      </c>
      <c r="C641" s="5">
        <v>3.45</v>
      </c>
      <c r="D641" s="4">
        <v>17</v>
      </c>
      <c r="E641" s="5">
        <v>3.17</v>
      </c>
      <c r="F641" s="4">
        <v>21</v>
      </c>
      <c r="G641" s="5">
        <v>3.55</v>
      </c>
      <c r="H641" s="4">
        <v>1</v>
      </c>
    </row>
    <row r="642" spans="1:8" x14ac:dyDescent="0.2">
      <c r="A642" s="1" t="s">
        <v>40</v>
      </c>
      <c r="B642" s="4">
        <v>2651</v>
      </c>
      <c r="C642" s="5">
        <v>100.00000000000001</v>
      </c>
      <c r="D642" s="4">
        <v>921</v>
      </c>
      <c r="E642" s="5">
        <v>99.99</v>
      </c>
      <c r="F642" s="4">
        <v>1723</v>
      </c>
      <c r="G642" s="5">
        <v>100.01</v>
      </c>
      <c r="H642" s="4">
        <v>0</v>
      </c>
    </row>
    <row r="643" spans="1:8" x14ac:dyDescent="0.2">
      <c r="A643" s="2" t="s">
        <v>74</v>
      </c>
      <c r="B643" s="4">
        <v>0</v>
      </c>
      <c r="C643" s="5">
        <v>0</v>
      </c>
      <c r="D643" s="4">
        <v>0</v>
      </c>
      <c r="E643" s="5">
        <v>0</v>
      </c>
      <c r="F643" s="4">
        <v>0</v>
      </c>
      <c r="G643" s="5">
        <v>0</v>
      </c>
      <c r="H643" s="4">
        <v>0</v>
      </c>
    </row>
    <row r="644" spans="1:8" x14ac:dyDescent="0.2">
      <c r="A644" s="2" t="s">
        <v>75</v>
      </c>
      <c r="B644" s="4">
        <v>450</v>
      </c>
      <c r="C644" s="5">
        <v>16.97</v>
      </c>
      <c r="D644" s="4">
        <v>88</v>
      </c>
      <c r="E644" s="5">
        <v>9.5500000000000007</v>
      </c>
      <c r="F644" s="4">
        <v>362</v>
      </c>
      <c r="G644" s="5">
        <v>21.01</v>
      </c>
      <c r="H644" s="4">
        <v>0</v>
      </c>
    </row>
    <row r="645" spans="1:8" x14ac:dyDescent="0.2">
      <c r="A645" s="2" t="s">
        <v>76</v>
      </c>
      <c r="B645" s="4">
        <v>884</v>
      </c>
      <c r="C645" s="5">
        <v>33.35</v>
      </c>
      <c r="D645" s="4">
        <v>225</v>
      </c>
      <c r="E645" s="5">
        <v>24.43</v>
      </c>
      <c r="F645" s="4">
        <v>659</v>
      </c>
      <c r="G645" s="5">
        <v>38.25</v>
      </c>
      <c r="H645" s="4">
        <v>0</v>
      </c>
    </row>
    <row r="646" spans="1:8" x14ac:dyDescent="0.2">
      <c r="A646" s="2" t="s">
        <v>77</v>
      </c>
      <c r="B646" s="4">
        <v>2</v>
      </c>
      <c r="C646" s="5">
        <v>0.08</v>
      </c>
      <c r="D646" s="4">
        <v>0</v>
      </c>
      <c r="E646" s="5">
        <v>0</v>
      </c>
      <c r="F646" s="4">
        <v>2</v>
      </c>
      <c r="G646" s="5">
        <v>0.12</v>
      </c>
      <c r="H646" s="4">
        <v>0</v>
      </c>
    </row>
    <row r="647" spans="1:8" x14ac:dyDescent="0.2">
      <c r="A647" s="2" t="s">
        <v>78</v>
      </c>
      <c r="B647" s="4">
        <v>18</v>
      </c>
      <c r="C647" s="5">
        <v>0.68</v>
      </c>
      <c r="D647" s="4">
        <v>1</v>
      </c>
      <c r="E647" s="5">
        <v>0.11</v>
      </c>
      <c r="F647" s="4">
        <v>17</v>
      </c>
      <c r="G647" s="5">
        <v>0.99</v>
      </c>
      <c r="H647" s="4">
        <v>0</v>
      </c>
    </row>
    <row r="648" spans="1:8" x14ac:dyDescent="0.2">
      <c r="A648" s="2" t="s">
        <v>79</v>
      </c>
      <c r="B648" s="4">
        <v>45</v>
      </c>
      <c r="C648" s="5">
        <v>1.7</v>
      </c>
      <c r="D648" s="4">
        <v>6</v>
      </c>
      <c r="E648" s="5">
        <v>0.65</v>
      </c>
      <c r="F648" s="4">
        <v>39</v>
      </c>
      <c r="G648" s="5">
        <v>2.2599999999999998</v>
      </c>
      <c r="H648" s="4">
        <v>0</v>
      </c>
    </row>
    <row r="649" spans="1:8" x14ac:dyDescent="0.2">
      <c r="A649" s="2" t="s">
        <v>80</v>
      </c>
      <c r="B649" s="4">
        <v>394</v>
      </c>
      <c r="C649" s="5">
        <v>14.86</v>
      </c>
      <c r="D649" s="4">
        <v>135</v>
      </c>
      <c r="E649" s="5">
        <v>14.66</v>
      </c>
      <c r="F649" s="4">
        <v>259</v>
      </c>
      <c r="G649" s="5">
        <v>15.03</v>
      </c>
      <c r="H649" s="4">
        <v>0</v>
      </c>
    </row>
    <row r="650" spans="1:8" x14ac:dyDescent="0.2">
      <c r="A650" s="2" t="s">
        <v>81</v>
      </c>
      <c r="B650" s="4">
        <v>7</v>
      </c>
      <c r="C650" s="5">
        <v>0.26</v>
      </c>
      <c r="D650" s="4">
        <v>0</v>
      </c>
      <c r="E650" s="5">
        <v>0</v>
      </c>
      <c r="F650" s="4">
        <v>7</v>
      </c>
      <c r="G650" s="5">
        <v>0.41</v>
      </c>
      <c r="H650" s="4">
        <v>0</v>
      </c>
    </row>
    <row r="651" spans="1:8" x14ac:dyDescent="0.2">
      <c r="A651" s="2" t="s">
        <v>82</v>
      </c>
      <c r="B651" s="4">
        <v>258</v>
      </c>
      <c r="C651" s="5">
        <v>9.73</v>
      </c>
      <c r="D651" s="4">
        <v>105</v>
      </c>
      <c r="E651" s="5">
        <v>11.4</v>
      </c>
      <c r="F651" s="4">
        <v>152</v>
      </c>
      <c r="G651" s="5">
        <v>8.82</v>
      </c>
      <c r="H651" s="4">
        <v>0</v>
      </c>
    </row>
    <row r="652" spans="1:8" x14ac:dyDescent="0.2">
      <c r="A652" s="2" t="s">
        <v>83</v>
      </c>
      <c r="B652" s="4">
        <v>62</v>
      </c>
      <c r="C652" s="5">
        <v>2.34</v>
      </c>
      <c r="D652" s="4">
        <v>27</v>
      </c>
      <c r="E652" s="5">
        <v>2.93</v>
      </c>
      <c r="F652" s="4">
        <v>35</v>
      </c>
      <c r="G652" s="5">
        <v>2.0299999999999998</v>
      </c>
      <c r="H652" s="4">
        <v>0</v>
      </c>
    </row>
    <row r="653" spans="1:8" x14ac:dyDescent="0.2">
      <c r="A653" s="2" t="s">
        <v>84</v>
      </c>
      <c r="B653" s="4">
        <v>137</v>
      </c>
      <c r="C653" s="5">
        <v>5.17</v>
      </c>
      <c r="D653" s="4">
        <v>111</v>
      </c>
      <c r="E653" s="5">
        <v>12.05</v>
      </c>
      <c r="F653" s="4">
        <v>26</v>
      </c>
      <c r="G653" s="5">
        <v>1.51</v>
      </c>
      <c r="H653" s="4">
        <v>0</v>
      </c>
    </row>
    <row r="654" spans="1:8" x14ac:dyDescent="0.2">
      <c r="A654" s="2" t="s">
        <v>85</v>
      </c>
      <c r="B654" s="4">
        <v>172</v>
      </c>
      <c r="C654" s="5">
        <v>6.49</v>
      </c>
      <c r="D654" s="4">
        <v>133</v>
      </c>
      <c r="E654" s="5">
        <v>14.44</v>
      </c>
      <c r="F654" s="4">
        <v>37</v>
      </c>
      <c r="G654" s="5">
        <v>2.15</v>
      </c>
      <c r="H654" s="4">
        <v>0</v>
      </c>
    </row>
    <row r="655" spans="1:8" x14ac:dyDescent="0.2">
      <c r="A655" s="2" t="s">
        <v>86</v>
      </c>
      <c r="B655" s="4">
        <v>39</v>
      </c>
      <c r="C655" s="5">
        <v>1.47</v>
      </c>
      <c r="D655" s="4">
        <v>25</v>
      </c>
      <c r="E655" s="5">
        <v>2.71</v>
      </c>
      <c r="F655" s="4">
        <v>14</v>
      </c>
      <c r="G655" s="5">
        <v>0.81</v>
      </c>
      <c r="H655" s="4">
        <v>0</v>
      </c>
    </row>
    <row r="656" spans="1:8" x14ac:dyDescent="0.2">
      <c r="A656" s="2" t="s">
        <v>87</v>
      </c>
      <c r="B656" s="4">
        <v>73</v>
      </c>
      <c r="C656" s="5">
        <v>2.75</v>
      </c>
      <c r="D656" s="4">
        <v>37</v>
      </c>
      <c r="E656" s="5">
        <v>4.0199999999999996</v>
      </c>
      <c r="F656" s="4">
        <v>33</v>
      </c>
      <c r="G656" s="5">
        <v>1.92</v>
      </c>
      <c r="H656" s="4">
        <v>0</v>
      </c>
    </row>
    <row r="657" spans="1:8" x14ac:dyDescent="0.2">
      <c r="A657" s="2" t="s">
        <v>88</v>
      </c>
      <c r="B657" s="4">
        <v>110</v>
      </c>
      <c r="C657" s="5">
        <v>4.1500000000000004</v>
      </c>
      <c r="D657" s="4">
        <v>28</v>
      </c>
      <c r="E657" s="5">
        <v>3.04</v>
      </c>
      <c r="F657" s="4">
        <v>81</v>
      </c>
      <c r="G657" s="5">
        <v>4.7</v>
      </c>
      <c r="H657" s="4">
        <v>0</v>
      </c>
    </row>
    <row r="658" spans="1:8" x14ac:dyDescent="0.2">
      <c r="A658" s="1" t="s">
        <v>41</v>
      </c>
      <c r="B658" s="4">
        <v>1661</v>
      </c>
      <c r="C658" s="5">
        <v>99.989999999999981</v>
      </c>
      <c r="D658" s="4">
        <v>734</v>
      </c>
      <c r="E658" s="5">
        <v>99.99</v>
      </c>
      <c r="F658" s="4">
        <v>922</v>
      </c>
      <c r="G658" s="5">
        <v>100</v>
      </c>
      <c r="H658" s="4">
        <v>0</v>
      </c>
    </row>
    <row r="659" spans="1:8" x14ac:dyDescent="0.2">
      <c r="A659" s="2" t="s">
        <v>74</v>
      </c>
      <c r="B659" s="4">
        <v>0</v>
      </c>
      <c r="C659" s="5">
        <v>0</v>
      </c>
      <c r="D659" s="4">
        <v>0</v>
      </c>
      <c r="E659" s="5">
        <v>0</v>
      </c>
      <c r="F659" s="4">
        <v>0</v>
      </c>
      <c r="G659" s="5">
        <v>0</v>
      </c>
      <c r="H659" s="4">
        <v>0</v>
      </c>
    </row>
    <row r="660" spans="1:8" x14ac:dyDescent="0.2">
      <c r="A660" s="2" t="s">
        <v>75</v>
      </c>
      <c r="B660" s="4">
        <v>247</v>
      </c>
      <c r="C660" s="5">
        <v>14.87</v>
      </c>
      <c r="D660" s="4">
        <v>51</v>
      </c>
      <c r="E660" s="5">
        <v>6.95</v>
      </c>
      <c r="F660" s="4">
        <v>196</v>
      </c>
      <c r="G660" s="5">
        <v>21.26</v>
      </c>
      <c r="H660" s="4">
        <v>0</v>
      </c>
    </row>
    <row r="661" spans="1:8" x14ac:dyDescent="0.2">
      <c r="A661" s="2" t="s">
        <v>76</v>
      </c>
      <c r="B661" s="4">
        <v>106</v>
      </c>
      <c r="C661" s="5">
        <v>6.38</v>
      </c>
      <c r="D661" s="4">
        <v>28</v>
      </c>
      <c r="E661" s="5">
        <v>3.81</v>
      </c>
      <c r="F661" s="4">
        <v>78</v>
      </c>
      <c r="G661" s="5">
        <v>8.4600000000000009</v>
      </c>
      <c r="H661" s="4">
        <v>0</v>
      </c>
    </row>
    <row r="662" spans="1:8" x14ac:dyDescent="0.2">
      <c r="A662" s="2" t="s">
        <v>77</v>
      </c>
      <c r="B662" s="4">
        <v>0</v>
      </c>
      <c r="C662" s="5">
        <v>0</v>
      </c>
      <c r="D662" s="4">
        <v>0</v>
      </c>
      <c r="E662" s="5">
        <v>0</v>
      </c>
      <c r="F662" s="4">
        <v>0</v>
      </c>
      <c r="G662" s="5">
        <v>0</v>
      </c>
      <c r="H662" s="4">
        <v>0</v>
      </c>
    </row>
    <row r="663" spans="1:8" x14ac:dyDescent="0.2">
      <c r="A663" s="2" t="s">
        <v>78</v>
      </c>
      <c r="B663" s="4">
        <v>20</v>
      </c>
      <c r="C663" s="5">
        <v>1.2</v>
      </c>
      <c r="D663" s="4">
        <v>1</v>
      </c>
      <c r="E663" s="5">
        <v>0.14000000000000001</v>
      </c>
      <c r="F663" s="4">
        <v>19</v>
      </c>
      <c r="G663" s="5">
        <v>2.06</v>
      </c>
      <c r="H663" s="4">
        <v>0</v>
      </c>
    </row>
    <row r="664" spans="1:8" x14ac:dyDescent="0.2">
      <c r="A664" s="2" t="s">
        <v>79</v>
      </c>
      <c r="B664" s="4">
        <v>16</v>
      </c>
      <c r="C664" s="5">
        <v>0.96</v>
      </c>
      <c r="D664" s="4">
        <v>3</v>
      </c>
      <c r="E664" s="5">
        <v>0.41</v>
      </c>
      <c r="F664" s="4">
        <v>13</v>
      </c>
      <c r="G664" s="5">
        <v>1.41</v>
      </c>
      <c r="H664" s="4">
        <v>0</v>
      </c>
    </row>
    <row r="665" spans="1:8" x14ac:dyDescent="0.2">
      <c r="A665" s="2" t="s">
        <v>80</v>
      </c>
      <c r="B665" s="4">
        <v>293</v>
      </c>
      <c r="C665" s="5">
        <v>17.64</v>
      </c>
      <c r="D665" s="4">
        <v>109</v>
      </c>
      <c r="E665" s="5">
        <v>14.85</v>
      </c>
      <c r="F665" s="4">
        <v>184</v>
      </c>
      <c r="G665" s="5">
        <v>19.96</v>
      </c>
      <c r="H665" s="4">
        <v>0</v>
      </c>
    </row>
    <row r="666" spans="1:8" x14ac:dyDescent="0.2">
      <c r="A666" s="2" t="s">
        <v>81</v>
      </c>
      <c r="B666" s="4">
        <v>8</v>
      </c>
      <c r="C666" s="5">
        <v>0.48</v>
      </c>
      <c r="D666" s="4">
        <v>0</v>
      </c>
      <c r="E666" s="5">
        <v>0</v>
      </c>
      <c r="F666" s="4">
        <v>8</v>
      </c>
      <c r="G666" s="5">
        <v>0.87</v>
      </c>
      <c r="H666" s="4">
        <v>0</v>
      </c>
    </row>
    <row r="667" spans="1:8" x14ac:dyDescent="0.2">
      <c r="A667" s="2" t="s">
        <v>82</v>
      </c>
      <c r="B667" s="4">
        <v>261</v>
      </c>
      <c r="C667" s="5">
        <v>15.71</v>
      </c>
      <c r="D667" s="4">
        <v>69</v>
      </c>
      <c r="E667" s="5">
        <v>9.4</v>
      </c>
      <c r="F667" s="4">
        <v>192</v>
      </c>
      <c r="G667" s="5">
        <v>20.82</v>
      </c>
      <c r="H667" s="4">
        <v>0</v>
      </c>
    </row>
    <row r="668" spans="1:8" x14ac:dyDescent="0.2">
      <c r="A668" s="2" t="s">
        <v>83</v>
      </c>
      <c r="B668" s="4">
        <v>75</v>
      </c>
      <c r="C668" s="5">
        <v>4.5199999999999996</v>
      </c>
      <c r="D668" s="4">
        <v>28</v>
      </c>
      <c r="E668" s="5">
        <v>3.81</v>
      </c>
      <c r="F668" s="4">
        <v>47</v>
      </c>
      <c r="G668" s="5">
        <v>5.0999999999999996</v>
      </c>
      <c r="H668" s="4">
        <v>0</v>
      </c>
    </row>
    <row r="669" spans="1:8" x14ac:dyDescent="0.2">
      <c r="A669" s="2" t="s">
        <v>84</v>
      </c>
      <c r="B669" s="4">
        <v>193</v>
      </c>
      <c r="C669" s="5">
        <v>11.62</v>
      </c>
      <c r="D669" s="4">
        <v>154</v>
      </c>
      <c r="E669" s="5">
        <v>20.98</v>
      </c>
      <c r="F669" s="4">
        <v>39</v>
      </c>
      <c r="G669" s="5">
        <v>4.2300000000000004</v>
      </c>
      <c r="H669" s="4">
        <v>0</v>
      </c>
    </row>
    <row r="670" spans="1:8" x14ac:dyDescent="0.2">
      <c r="A670" s="2" t="s">
        <v>85</v>
      </c>
      <c r="B670" s="4">
        <v>246</v>
      </c>
      <c r="C670" s="5">
        <v>14.81</v>
      </c>
      <c r="D670" s="4">
        <v>178</v>
      </c>
      <c r="E670" s="5">
        <v>24.25</v>
      </c>
      <c r="F670" s="4">
        <v>68</v>
      </c>
      <c r="G670" s="5">
        <v>7.38</v>
      </c>
      <c r="H670" s="4">
        <v>0</v>
      </c>
    </row>
    <row r="671" spans="1:8" x14ac:dyDescent="0.2">
      <c r="A671" s="2" t="s">
        <v>86</v>
      </c>
      <c r="B671" s="4">
        <v>64</v>
      </c>
      <c r="C671" s="5">
        <v>3.85</v>
      </c>
      <c r="D671" s="4">
        <v>44</v>
      </c>
      <c r="E671" s="5">
        <v>5.99</v>
      </c>
      <c r="F671" s="4">
        <v>17</v>
      </c>
      <c r="G671" s="5">
        <v>1.84</v>
      </c>
      <c r="H671" s="4">
        <v>0</v>
      </c>
    </row>
    <row r="672" spans="1:8" x14ac:dyDescent="0.2">
      <c r="A672" s="2" t="s">
        <v>87</v>
      </c>
      <c r="B672" s="4">
        <v>80</v>
      </c>
      <c r="C672" s="5">
        <v>4.82</v>
      </c>
      <c r="D672" s="4">
        <v>55</v>
      </c>
      <c r="E672" s="5">
        <v>7.49</v>
      </c>
      <c r="F672" s="4">
        <v>25</v>
      </c>
      <c r="G672" s="5">
        <v>2.71</v>
      </c>
      <c r="H672" s="4">
        <v>0</v>
      </c>
    </row>
    <row r="673" spans="1:8" x14ac:dyDescent="0.2">
      <c r="A673" s="2" t="s">
        <v>88</v>
      </c>
      <c r="B673" s="4">
        <v>52</v>
      </c>
      <c r="C673" s="5">
        <v>3.13</v>
      </c>
      <c r="D673" s="4">
        <v>14</v>
      </c>
      <c r="E673" s="5">
        <v>1.91</v>
      </c>
      <c r="F673" s="4">
        <v>36</v>
      </c>
      <c r="G673" s="5">
        <v>3.9</v>
      </c>
      <c r="H673" s="4">
        <v>0</v>
      </c>
    </row>
    <row r="674" spans="1:8" x14ac:dyDescent="0.2">
      <c r="A674" s="1" t="s">
        <v>42</v>
      </c>
      <c r="B674" s="4">
        <v>3084</v>
      </c>
      <c r="C674" s="5">
        <v>99.999999999999972</v>
      </c>
      <c r="D674" s="4">
        <v>1223</v>
      </c>
      <c r="E674" s="5">
        <v>100.01</v>
      </c>
      <c r="F674" s="4">
        <v>1845</v>
      </c>
      <c r="G674" s="5">
        <v>100.01</v>
      </c>
      <c r="H674" s="4">
        <v>2</v>
      </c>
    </row>
    <row r="675" spans="1:8" x14ac:dyDescent="0.2">
      <c r="A675" s="2" t="s">
        <v>74</v>
      </c>
      <c r="B675" s="4">
        <v>0</v>
      </c>
      <c r="C675" s="5">
        <v>0</v>
      </c>
      <c r="D675" s="4">
        <v>0</v>
      </c>
      <c r="E675" s="5">
        <v>0</v>
      </c>
      <c r="F675" s="4">
        <v>0</v>
      </c>
      <c r="G675" s="5">
        <v>0</v>
      </c>
      <c r="H675" s="4">
        <v>0</v>
      </c>
    </row>
    <row r="676" spans="1:8" x14ac:dyDescent="0.2">
      <c r="A676" s="2" t="s">
        <v>75</v>
      </c>
      <c r="B676" s="4">
        <v>518</v>
      </c>
      <c r="C676" s="5">
        <v>16.8</v>
      </c>
      <c r="D676" s="4">
        <v>89</v>
      </c>
      <c r="E676" s="5">
        <v>7.28</v>
      </c>
      <c r="F676" s="4">
        <v>428</v>
      </c>
      <c r="G676" s="5">
        <v>23.2</v>
      </c>
      <c r="H676" s="4">
        <v>1</v>
      </c>
    </row>
    <row r="677" spans="1:8" x14ac:dyDescent="0.2">
      <c r="A677" s="2" t="s">
        <v>76</v>
      </c>
      <c r="B677" s="4">
        <v>772</v>
      </c>
      <c r="C677" s="5">
        <v>25.03</v>
      </c>
      <c r="D677" s="4">
        <v>266</v>
      </c>
      <c r="E677" s="5">
        <v>21.75</v>
      </c>
      <c r="F677" s="4">
        <v>506</v>
      </c>
      <c r="G677" s="5">
        <v>27.43</v>
      </c>
      <c r="H677" s="4">
        <v>0</v>
      </c>
    </row>
    <row r="678" spans="1:8" x14ac:dyDescent="0.2">
      <c r="A678" s="2" t="s">
        <v>77</v>
      </c>
      <c r="B678" s="4">
        <v>2</v>
      </c>
      <c r="C678" s="5">
        <v>0.06</v>
      </c>
      <c r="D678" s="4">
        <v>0</v>
      </c>
      <c r="E678" s="5">
        <v>0</v>
      </c>
      <c r="F678" s="4">
        <v>2</v>
      </c>
      <c r="G678" s="5">
        <v>0.11</v>
      </c>
      <c r="H678" s="4">
        <v>0</v>
      </c>
    </row>
    <row r="679" spans="1:8" x14ac:dyDescent="0.2">
      <c r="A679" s="2" t="s">
        <v>78</v>
      </c>
      <c r="B679" s="4">
        <v>25</v>
      </c>
      <c r="C679" s="5">
        <v>0.81</v>
      </c>
      <c r="D679" s="4">
        <v>0</v>
      </c>
      <c r="E679" s="5">
        <v>0</v>
      </c>
      <c r="F679" s="4">
        <v>25</v>
      </c>
      <c r="G679" s="5">
        <v>1.36</v>
      </c>
      <c r="H679" s="4">
        <v>0</v>
      </c>
    </row>
    <row r="680" spans="1:8" x14ac:dyDescent="0.2">
      <c r="A680" s="2" t="s">
        <v>79</v>
      </c>
      <c r="B680" s="4">
        <v>44</v>
      </c>
      <c r="C680" s="5">
        <v>1.43</v>
      </c>
      <c r="D680" s="4">
        <v>3</v>
      </c>
      <c r="E680" s="5">
        <v>0.25</v>
      </c>
      <c r="F680" s="4">
        <v>41</v>
      </c>
      <c r="G680" s="5">
        <v>2.2200000000000002</v>
      </c>
      <c r="H680" s="4">
        <v>0</v>
      </c>
    </row>
    <row r="681" spans="1:8" x14ac:dyDescent="0.2">
      <c r="A681" s="2" t="s">
        <v>80</v>
      </c>
      <c r="B681" s="4">
        <v>485</v>
      </c>
      <c r="C681" s="5">
        <v>15.73</v>
      </c>
      <c r="D681" s="4">
        <v>165</v>
      </c>
      <c r="E681" s="5">
        <v>13.49</v>
      </c>
      <c r="F681" s="4">
        <v>319</v>
      </c>
      <c r="G681" s="5">
        <v>17.29</v>
      </c>
      <c r="H681" s="4">
        <v>1</v>
      </c>
    </row>
    <row r="682" spans="1:8" x14ac:dyDescent="0.2">
      <c r="A682" s="2" t="s">
        <v>81</v>
      </c>
      <c r="B682" s="4">
        <v>17</v>
      </c>
      <c r="C682" s="5">
        <v>0.55000000000000004</v>
      </c>
      <c r="D682" s="4">
        <v>3</v>
      </c>
      <c r="E682" s="5">
        <v>0.25</v>
      </c>
      <c r="F682" s="4">
        <v>14</v>
      </c>
      <c r="G682" s="5">
        <v>0.76</v>
      </c>
      <c r="H682" s="4">
        <v>0</v>
      </c>
    </row>
    <row r="683" spans="1:8" x14ac:dyDescent="0.2">
      <c r="A683" s="2" t="s">
        <v>82</v>
      </c>
      <c r="B683" s="4">
        <v>414</v>
      </c>
      <c r="C683" s="5">
        <v>13.42</v>
      </c>
      <c r="D683" s="4">
        <v>172</v>
      </c>
      <c r="E683" s="5">
        <v>14.06</v>
      </c>
      <c r="F683" s="4">
        <v>242</v>
      </c>
      <c r="G683" s="5">
        <v>13.12</v>
      </c>
      <c r="H683" s="4">
        <v>0</v>
      </c>
    </row>
    <row r="684" spans="1:8" x14ac:dyDescent="0.2">
      <c r="A684" s="2" t="s">
        <v>83</v>
      </c>
      <c r="B684" s="4">
        <v>93</v>
      </c>
      <c r="C684" s="5">
        <v>3.02</v>
      </c>
      <c r="D684" s="4">
        <v>34</v>
      </c>
      <c r="E684" s="5">
        <v>2.78</v>
      </c>
      <c r="F684" s="4">
        <v>58</v>
      </c>
      <c r="G684" s="5">
        <v>3.14</v>
      </c>
      <c r="H684" s="4">
        <v>0</v>
      </c>
    </row>
    <row r="685" spans="1:8" x14ac:dyDescent="0.2">
      <c r="A685" s="2" t="s">
        <v>84</v>
      </c>
      <c r="B685" s="4">
        <v>202</v>
      </c>
      <c r="C685" s="5">
        <v>6.55</v>
      </c>
      <c r="D685" s="4">
        <v>165</v>
      </c>
      <c r="E685" s="5">
        <v>13.49</v>
      </c>
      <c r="F685" s="4">
        <v>35</v>
      </c>
      <c r="G685" s="5">
        <v>1.9</v>
      </c>
      <c r="H685" s="4">
        <v>0</v>
      </c>
    </row>
    <row r="686" spans="1:8" x14ac:dyDescent="0.2">
      <c r="A686" s="2" t="s">
        <v>85</v>
      </c>
      <c r="B686" s="4">
        <v>243</v>
      </c>
      <c r="C686" s="5">
        <v>7.88</v>
      </c>
      <c r="D686" s="4">
        <v>185</v>
      </c>
      <c r="E686" s="5">
        <v>15.13</v>
      </c>
      <c r="F686" s="4">
        <v>58</v>
      </c>
      <c r="G686" s="5">
        <v>3.14</v>
      </c>
      <c r="H686" s="4">
        <v>0</v>
      </c>
    </row>
    <row r="687" spans="1:8" x14ac:dyDescent="0.2">
      <c r="A687" s="2" t="s">
        <v>86</v>
      </c>
      <c r="B687" s="4">
        <v>56</v>
      </c>
      <c r="C687" s="5">
        <v>1.82</v>
      </c>
      <c r="D687" s="4">
        <v>39</v>
      </c>
      <c r="E687" s="5">
        <v>3.19</v>
      </c>
      <c r="F687" s="4">
        <v>17</v>
      </c>
      <c r="G687" s="5">
        <v>0.92</v>
      </c>
      <c r="H687" s="4">
        <v>0</v>
      </c>
    </row>
    <row r="688" spans="1:8" x14ac:dyDescent="0.2">
      <c r="A688" s="2" t="s">
        <v>87</v>
      </c>
      <c r="B688" s="4">
        <v>84</v>
      </c>
      <c r="C688" s="5">
        <v>2.72</v>
      </c>
      <c r="D688" s="4">
        <v>50</v>
      </c>
      <c r="E688" s="5">
        <v>4.09</v>
      </c>
      <c r="F688" s="4">
        <v>28</v>
      </c>
      <c r="G688" s="5">
        <v>1.52</v>
      </c>
      <c r="H688" s="4">
        <v>0</v>
      </c>
    </row>
    <row r="689" spans="1:8" x14ac:dyDescent="0.2">
      <c r="A689" s="2" t="s">
        <v>88</v>
      </c>
      <c r="B689" s="4">
        <v>129</v>
      </c>
      <c r="C689" s="5">
        <v>4.18</v>
      </c>
      <c r="D689" s="4">
        <v>52</v>
      </c>
      <c r="E689" s="5">
        <v>4.25</v>
      </c>
      <c r="F689" s="4">
        <v>72</v>
      </c>
      <c r="G689" s="5">
        <v>3.9</v>
      </c>
      <c r="H689" s="4">
        <v>0</v>
      </c>
    </row>
    <row r="690" spans="1:8" x14ac:dyDescent="0.2">
      <c r="A690" s="1" t="s">
        <v>43</v>
      </c>
      <c r="B690" s="4">
        <v>1011</v>
      </c>
      <c r="C690" s="5">
        <v>100</v>
      </c>
      <c r="D690" s="4">
        <v>475</v>
      </c>
      <c r="E690" s="5">
        <v>100.00000000000001</v>
      </c>
      <c r="F690" s="4">
        <v>526</v>
      </c>
      <c r="G690" s="5">
        <v>99.980000000000018</v>
      </c>
      <c r="H690" s="4">
        <v>1</v>
      </c>
    </row>
    <row r="691" spans="1:8" x14ac:dyDescent="0.2">
      <c r="A691" s="2" t="s">
        <v>74</v>
      </c>
      <c r="B691" s="4">
        <v>0</v>
      </c>
      <c r="C691" s="5">
        <v>0</v>
      </c>
      <c r="D691" s="4">
        <v>0</v>
      </c>
      <c r="E691" s="5">
        <v>0</v>
      </c>
      <c r="F691" s="4">
        <v>0</v>
      </c>
      <c r="G691" s="5">
        <v>0</v>
      </c>
      <c r="H691" s="4">
        <v>0</v>
      </c>
    </row>
    <row r="692" spans="1:8" x14ac:dyDescent="0.2">
      <c r="A692" s="2" t="s">
        <v>75</v>
      </c>
      <c r="B692" s="4">
        <v>185</v>
      </c>
      <c r="C692" s="5">
        <v>18.3</v>
      </c>
      <c r="D692" s="4">
        <v>60</v>
      </c>
      <c r="E692" s="5">
        <v>12.63</v>
      </c>
      <c r="F692" s="4">
        <v>125</v>
      </c>
      <c r="G692" s="5">
        <v>23.76</v>
      </c>
      <c r="H692" s="4">
        <v>0</v>
      </c>
    </row>
    <row r="693" spans="1:8" x14ac:dyDescent="0.2">
      <c r="A693" s="2" t="s">
        <v>76</v>
      </c>
      <c r="B693" s="4">
        <v>92</v>
      </c>
      <c r="C693" s="5">
        <v>9.1</v>
      </c>
      <c r="D693" s="4">
        <v>27</v>
      </c>
      <c r="E693" s="5">
        <v>5.68</v>
      </c>
      <c r="F693" s="4">
        <v>65</v>
      </c>
      <c r="G693" s="5">
        <v>12.36</v>
      </c>
      <c r="H693" s="4">
        <v>0</v>
      </c>
    </row>
    <row r="694" spans="1:8" x14ac:dyDescent="0.2">
      <c r="A694" s="2" t="s">
        <v>77</v>
      </c>
      <c r="B694" s="4">
        <v>1</v>
      </c>
      <c r="C694" s="5">
        <v>0.1</v>
      </c>
      <c r="D694" s="4">
        <v>0</v>
      </c>
      <c r="E694" s="5">
        <v>0</v>
      </c>
      <c r="F694" s="4">
        <v>1</v>
      </c>
      <c r="G694" s="5">
        <v>0.19</v>
      </c>
      <c r="H694" s="4">
        <v>0</v>
      </c>
    </row>
    <row r="695" spans="1:8" x14ac:dyDescent="0.2">
      <c r="A695" s="2" t="s">
        <v>78</v>
      </c>
      <c r="B695" s="4">
        <v>15</v>
      </c>
      <c r="C695" s="5">
        <v>1.48</v>
      </c>
      <c r="D695" s="4">
        <v>0</v>
      </c>
      <c r="E695" s="5">
        <v>0</v>
      </c>
      <c r="F695" s="4">
        <v>15</v>
      </c>
      <c r="G695" s="5">
        <v>2.85</v>
      </c>
      <c r="H695" s="4">
        <v>0</v>
      </c>
    </row>
    <row r="696" spans="1:8" x14ac:dyDescent="0.2">
      <c r="A696" s="2" t="s">
        <v>79</v>
      </c>
      <c r="B696" s="4">
        <v>8</v>
      </c>
      <c r="C696" s="5">
        <v>0.79</v>
      </c>
      <c r="D696" s="4">
        <v>1</v>
      </c>
      <c r="E696" s="5">
        <v>0.21</v>
      </c>
      <c r="F696" s="4">
        <v>7</v>
      </c>
      <c r="G696" s="5">
        <v>1.33</v>
      </c>
      <c r="H696" s="4">
        <v>0</v>
      </c>
    </row>
    <row r="697" spans="1:8" x14ac:dyDescent="0.2">
      <c r="A697" s="2" t="s">
        <v>80</v>
      </c>
      <c r="B697" s="4">
        <v>203</v>
      </c>
      <c r="C697" s="5">
        <v>20.079999999999998</v>
      </c>
      <c r="D697" s="4">
        <v>74</v>
      </c>
      <c r="E697" s="5">
        <v>15.58</v>
      </c>
      <c r="F697" s="4">
        <v>129</v>
      </c>
      <c r="G697" s="5">
        <v>24.52</v>
      </c>
      <c r="H697" s="4">
        <v>0</v>
      </c>
    </row>
    <row r="698" spans="1:8" x14ac:dyDescent="0.2">
      <c r="A698" s="2" t="s">
        <v>81</v>
      </c>
      <c r="B698" s="4">
        <v>2</v>
      </c>
      <c r="C698" s="5">
        <v>0.2</v>
      </c>
      <c r="D698" s="4">
        <v>1</v>
      </c>
      <c r="E698" s="5">
        <v>0.21</v>
      </c>
      <c r="F698" s="4">
        <v>1</v>
      </c>
      <c r="G698" s="5">
        <v>0.19</v>
      </c>
      <c r="H698" s="4">
        <v>0</v>
      </c>
    </row>
    <row r="699" spans="1:8" x14ac:dyDescent="0.2">
      <c r="A699" s="2" t="s">
        <v>82</v>
      </c>
      <c r="B699" s="4">
        <v>90</v>
      </c>
      <c r="C699" s="5">
        <v>8.9</v>
      </c>
      <c r="D699" s="4">
        <v>26</v>
      </c>
      <c r="E699" s="5">
        <v>5.47</v>
      </c>
      <c r="F699" s="4">
        <v>64</v>
      </c>
      <c r="G699" s="5">
        <v>12.17</v>
      </c>
      <c r="H699" s="4">
        <v>0</v>
      </c>
    </row>
    <row r="700" spans="1:8" x14ac:dyDescent="0.2">
      <c r="A700" s="2" t="s">
        <v>83</v>
      </c>
      <c r="B700" s="4">
        <v>43</v>
      </c>
      <c r="C700" s="5">
        <v>4.25</v>
      </c>
      <c r="D700" s="4">
        <v>29</v>
      </c>
      <c r="E700" s="5">
        <v>6.11</v>
      </c>
      <c r="F700" s="4">
        <v>14</v>
      </c>
      <c r="G700" s="5">
        <v>2.66</v>
      </c>
      <c r="H700" s="4">
        <v>0</v>
      </c>
    </row>
    <row r="701" spans="1:8" x14ac:dyDescent="0.2">
      <c r="A701" s="2" t="s">
        <v>84</v>
      </c>
      <c r="B701" s="4">
        <v>89</v>
      </c>
      <c r="C701" s="5">
        <v>8.8000000000000007</v>
      </c>
      <c r="D701" s="4">
        <v>70</v>
      </c>
      <c r="E701" s="5">
        <v>14.74</v>
      </c>
      <c r="F701" s="4">
        <v>19</v>
      </c>
      <c r="G701" s="5">
        <v>3.61</v>
      </c>
      <c r="H701" s="4">
        <v>0</v>
      </c>
    </row>
    <row r="702" spans="1:8" x14ac:dyDescent="0.2">
      <c r="A702" s="2" t="s">
        <v>85</v>
      </c>
      <c r="B702" s="4">
        <v>137</v>
      </c>
      <c r="C702" s="5">
        <v>13.55</v>
      </c>
      <c r="D702" s="4">
        <v>100</v>
      </c>
      <c r="E702" s="5">
        <v>21.05</v>
      </c>
      <c r="F702" s="4">
        <v>36</v>
      </c>
      <c r="G702" s="5">
        <v>6.84</v>
      </c>
      <c r="H702" s="4">
        <v>0</v>
      </c>
    </row>
    <row r="703" spans="1:8" x14ac:dyDescent="0.2">
      <c r="A703" s="2" t="s">
        <v>86</v>
      </c>
      <c r="B703" s="4">
        <v>48</v>
      </c>
      <c r="C703" s="5">
        <v>4.75</v>
      </c>
      <c r="D703" s="4">
        <v>36</v>
      </c>
      <c r="E703" s="5">
        <v>7.58</v>
      </c>
      <c r="F703" s="4">
        <v>10</v>
      </c>
      <c r="G703" s="5">
        <v>1.9</v>
      </c>
      <c r="H703" s="4">
        <v>1</v>
      </c>
    </row>
    <row r="704" spans="1:8" x14ac:dyDescent="0.2">
      <c r="A704" s="2" t="s">
        <v>87</v>
      </c>
      <c r="B704" s="4">
        <v>57</v>
      </c>
      <c r="C704" s="5">
        <v>5.64</v>
      </c>
      <c r="D704" s="4">
        <v>35</v>
      </c>
      <c r="E704" s="5">
        <v>7.37</v>
      </c>
      <c r="F704" s="4">
        <v>17</v>
      </c>
      <c r="G704" s="5">
        <v>3.23</v>
      </c>
      <c r="H704" s="4">
        <v>0</v>
      </c>
    </row>
    <row r="705" spans="1:8" x14ac:dyDescent="0.2">
      <c r="A705" s="2" t="s">
        <v>88</v>
      </c>
      <c r="B705" s="4">
        <v>41</v>
      </c>
      <c r="C705" s="5">
        <v>4.0599999999999996</v>
      </c>
      <c r="D705" s="4">
        <v>16</v>
      </c>
      <c r="E705" s="5">
        <v>3.37</v>
      </c>
      <c r="F705" s="4">
        <v>23</v>
      </c>
      <c r="G705" s="5">
        <v>4.37</v>
      </c>
      <c r="H705" s="4">
        <v>0</v>
      </c>
    </row>
    <row r="706" spans="1:8" x14ac:dyDescent="0.2">
      <c r="A706" s="1" t="s">
        <v>44</v>
      </c>
      <c r="B706" s="4">
        <v>1552</v>
      </c>
      <c r="C706" s="5">
        <v>100.02</v>
      </c>
      <c r="D706" s="4">
        <v>732</v>
      </c>
      <c r="E706" s="5">
        <v>100.01</v>
      </c>
      <c r="F706" s="4">
        <v>809</v>
      </c>
      <c r="G706" s="5">
        <v>100.02000000000001</v>
      </c>
      <c r="H706" s="4">
        <v>0</v>
      </c>
    </row>
    <row r="707" spans="1:8" x14ac:dyDescent="0.2">
      <c r="A707" s="2" t="s">
        <v>74</v>
      </c>
      <c r="B707" s="4">
        <v>0</v>
      </c>
      <c r="C707" s="5">
        <v>0</v>
      </c>
      <c r="D707" s="4">
        <v>0</v>
      </c>
      <c r="E707" s="5">
        <v>0</v>
      </c>
      <c r="F707" s="4">
        <v>0</v>
      </c>
      <c r="G707" s="5">
        <v>0</v>
      </c>
      <c r="H707" s="4">
        <v>0</v>
      </c>
    </row>
    <row r="708" spans="1:8" x14ac:dyDescent="0.2">
      <c r="A708" s="2" t="s">
        <v>75</v>
      </c>
      <c r="B708" s="4">
        <v>259</v>
      </c>
      <c r="C708" s="5">
        <v>16.690000000000001</v>
      </c>
      <c r="D708" s="4">
        <v>54</v>
      </c>
      <c r="E708" s="5">
        <v>7.38</v>
      </c>
      <c r="F708" s="4">
        <v>205</v>
      </c>
      <c r="G708" s="5">
        <v>25.34</v>
      </c>
      <c r="H708" s="4">
        <v>0</v>
      </c>
    </row>
    <row r="709" spans="1:8" x14ac:dyDescent="0.2">
      <c r="A709" s="2" t="s">
        <v>76</v>
      </c>
      <c r="B709" s="4">
        <v>121</v>
      </c>
      <c r="C709" s="5">
        <v>7.8</v>
      </c>
      <c r="D709" s="4">
        <v>28</v>
      </c>
      <c r="E709" s="5">
        <v>3.83</v>
      </c>
      <c r="F709" s="4">
        <v>93</v>
      </c>
      <c r="G709" s="5">
        <v>11.5</v>
      </c>
      <c r="H709" s="4">
        <v>0</v>
      </c>
    </row>
    <row r="710" spans="1:8" x14ac:dyDescent="0.2">
      <c r="A710" s="2" t="s">
        <v>77</v>
      </c>
      <c r="B710" s="4">
        <v>2</v>
      </c>
      <c r="C710" s="5">
        <v>0.13</v>
      </c>
      <c r="D710" s="4">
        <v>0</v>
      </c>
      <c r="E710" s="5">
        <v>0</v>
      </c>
      <c r="F710" s="4">
        <v>2</v>
      </c>
      <c r="G710" s="5">
        <v>0.25</v>
      </c>
      <c r="H710" s="4">
        <v>0</v>
      </c>
    </row>
    <row r="711" spans="1:8" x14ac:dyDescent="0.2">
      <c r="A711" s="2" t="s">
        <v>78</v>
      </c>
      <c r="B711" s="4">
        <v>10</v>
      </c>
      <c r="C711" s="5">
        <v>0.64</v>
      </c>
      <c r="D711" s="4">
        <v>0</v>
      </c>
      <c r="E711" s="5">
        <v>0</v>
      </c>
      <c r="F711" s="4">
        <v>10</v>
      </c>
      <c r="G711" s="5">
        <v>1.24</v>
      </c>
      <c r="H711" s="4">
        <v>0</v>
      </c>
    </row>
    <row r="712" spans="1:8" x14ac:dyDescent="0.2">
      <c r="A712" s="2" t="s">
        <v>79</v>
      </c>
      <c r="B712" s="4">
        <v>9</v>
      </c>
      <c r="C712" s="5">
        <v>0.57999999999999996</v>
      </c>
      <c r="D712" s="4">
        <v>1</v>
      </c>
      <c r="E712" s="5">
        <v>0.14000000000000001</v>
      </c>
      <c r="F712" s="4">
        <v>8</v>
      </c>
      <c r="G712" s="5">
        <v>0.99</v>
      </c>
      <c r="H712" s="4">
        <v>0</v>
      </c>
    </row>
    <row r="713" spans="1:8" x14ac:dyDescent="0.2">
      <c r="A713" s="2" t="s">
        <v>80</v>
      </c>
      <c r="B713" s="4">
        <v>296</v>
      </c>
      <c r="C713" s="5">
        <v>19.07</v>
      </c>
      <c r="D713" s="4">
        <v>120</v>
      </c>
      <c r="E713" s="5">
        <v>16.39</v>
      </c>
      <c r="F713" s="4">
        <v>176</v>
      </c>
      <c r="G713" s="5">
        <v>21.76</v>
      </c>
      <c r="H713" s="4">
        <v>0</v>
      </c>
    </row>
    <row r="714" spans="1:8" x14ac:dyDescent="0.2">
      <c r="A714" s="2" t="s">
        <v>81</v>
      </c>
      <c r="B714" s="4">
        <v>8</v>
      </c>
      <c r="C714" s="5">
        <v>0.52</v>
      </c>
      <c r="D714" s="4">
        <v>1</v>
      </c>
      <c r="E714" s="5">
        <v>0.14000000000000001</v>
      </c>
      <c r="F714" s="4">
        <v>7</v>
      </c>
      <c r="G714" s="5">
        <v>0.87</v>
      </c>
      <c r="H714" s="4">
        <v>0</v>
      </c>
    </row>
    <row r="715" spans="1:8" x14ac:dyDescent="0.2">
      <c r="A715" s="2" t="s">
        <v>82</v>
      </c>
      <c r="B715" s="4">
        <v>132</v>
      </c>
      <c r="C715" s="5">
        <v>8.51</v>
      </c>
      <c r="D715" s="4">
        <v>21</v>
      </c>
      <c r="E715" s="5">
        <v>2.87</v>
      </c>
      <c r="F715" s="4">
        <v>111</v>
      </c>
      <c r="G715" s="5">
        <v>13.72</v>
      </c>
      <c r="H715" s="4">
        <v>0</v>
      </c>
    </row>
    <row r="716" spans="1:8" x14ac:dyDescent="0.2">
      <c r="A716" s="2" t="s">
        <v>83</v>
      </c>
      <c r="B716" s="4">
        <v>78</v>
      </c>
      <c r="C716" s="5">
        <v>5.03</v>
      </c>
      <c r="D716" s="4">
        <v>37</v>
      </c>
      <c r="E716" s="5">
        <v>5.05</v>
      </c>
      <c r="F716" s="4">
        <v>41</v>
      </c>
      <c r="G716" s="5">
        <v>5.07</v>
      </c>
      <c r="H716" s="4">
        <v>0</v>
      </c>
    </row>
    <row r="717" spans="1:8" x14ac:dyDescent="0.2">
      <c r="A717" s="2" t="s">
        <v>84</v>
      </c>
      <c r="B717" s="4">
        <v>207</v>
      </c>
      <c r="C717" s="5">
        <v>13.34</v>
      </c>
      <c r="D717" s="4">
        <v>157</v>
      </c>
      <c r="E717" s="5">
        <v>21.45</v>
      </c>
      <c r="F717" s="4">
        <v>50</v>
      </c>
      <c r="G717" s="5">
        <v>6.18</v>
      </c>
      <c r="H717" s="4">
        <v>0</v>
      </c>
    </row>
    <row r="718" spans="1:8" x14ac:dyDescent="0.2">
      <c r="A718" s="2" t="s">
        <v>85</v>
      </c>
      <c r="B718" s="4">
        <v>227</v>
      </c>
      <c r="C718" s="5">
        <v>14.63</v>
      </c>
      <c r="D718" s="4">
        <v>191</v>
      </c>
      <c r="E718" s="5">
        <v>26.09</v>
      </c>
      <c r="F718" s="4">
        <v>36</v>
      </c>
      <c r="G718" s="5">
        <v>4.45</v>
      </c>
      <c r="H718" s="4">
        <v>0</v>
      </c>
    </row>
    <row r="719" spans="1:8" x14ac:dyDescent="0.2">
      <c r="A719" s="2" t="s">
        <v>86</v>
      </c>
      <c r="B719" s="4">
        <v>61</v>
      </c>
      <c r="C719" s="5">
        <v>3.93</v>
      </c>
      <c r="D719" s="4">
        <v>36</v>
      </c>
      <c r="E719" s="5">
        <v>4.92</v>
      </c>
      <c r="F719" s="4">
        <v>18</v>
      </c>
      <c r="G719" s="5">
        <v>2.2200000000000002</v>
      </c>
      <c r="H719" s="4">
        <v>0</v>
      </c>
    </row>
    <row r="720" spans="1:8" x14ac:dyDescent="0.2">
      <c r="A720" s="2" t="s">
        <v>87</v>
      </c>
      <c r="B720" s="4">
        <v>100</v>
      </c>
      <c r="C720" s="5">
        <v>6.44</v>
      </c>
      <c r="D720" s="4">
        <v>70</v>
      </c>
      <c r="E720" s="5">
        <v>9.56</v>
      </c>
      <c r="F720" s="4">
        <v>30</v>
      </c>
      <c r="G720" s="5">
        <v>3.71</v>
      </c>
      <c r="H720" s="4">
        <v>0</v>
      </c>
    </row>
    <row r="721" spans="1:8" x14ac:dyDescent="0.2">
      <c r="A721" s="2" t="s">
        <v>88</v>
      </c>
      <c r="B721" s="4">
        <v>42</v>
      </c>
      <c r="C721" s="5">
        <v>2.71</v>
      </c>
      <c r="D721" s="4">
        <v>16</v>
      </c>
      <c r="E721" s="5">
        <v>2.19</v>
      </c>
      <c r="F721" s="4">
        <v>22</v>
      </c>
      <c r="G721" s="5">
        <v>2.72</v>
      </c>
      <c r="H721" s="4">
        <v>0</v>
      </c>
    </row>
    <row r="722" spans="1:8" x14ac:dyDescent="0.2">
      <c r="A722" s="1" t="s">
        <v>45</v>
      </c>
      <c r="B722" s="4">
        <v>1195</v>
      </c>
      <c r="C722" s="5">
        <v>99.999999999999986</v>
      </c>
      <c r="D722" s="4">
        <v>747</v>
      </c>
      <c r="E722" s="5">
        <v>100.00000000000001</v>
      </c>
      <c r="F722" s="4">
        <v>434</v>
      </c>
      <c r="G722" s="5">
        <v>100</v>
      </c>
      <c r="H722" s="4">
        <v>5</v>
      </c>
    </row>
    <row r="723" spans="1:8" x14ac:dyDescent="0.2">
      <c r="A723" s="2" t="s">
        <v>74</v>
      </c>
      <c r="B723" s="4">
        <v>0</v>
      </c>
      <c r="C723" s="5">
        <v>0</v>
      </c>
      <c r="D723" s="4">
        <v>0</v>
      </c>
      <c r="E723" s="5">
        <v>0</v>
      </c>
      <c r="F723" s="4">
        <v>0</v>
      </c>
      <c r="G723" s="5">
        <v>0</v>
      </c>
      <c r="H723" s="4">
        <v>0</v>
      </c>
    </row>
    <row r="724" spans="1:8" x14ac:dyDescent="0.2">
      <c r="A724" s="2" t="s">
        <v>75</v>
      </c>
      <c r="B724" s="4">
        <v>184</v>
      </c>
      <c r="C724" s="5">
        <v>15.4</v>
      </c>
      <c r="D724" s="4">
        <v>78</v>
      </c>
      <c r="E724" s="5">
        <v>10.44</v>
      </c>
      <c r="F724" s="4">
        <v>106</v>
      </c>
      <c r="G724" s="5">
        <v>24.42</v>
      </c>
      <c r="H724" s="4">
        <v>0</v>
      </c>
    </row>
    <row r="725" spans="1:8" x14ac:dyDescent="0.2">
      <c r="A725" s="2" t="s">
        <v>76</v>
      </c>
      <c r="B725" s="4">
        <v>87</v>
      </c>
      <c r="C725" s="5">
        <v>7.28</v>
      </c>
      <c r="D725" s="4">
        <v>29</v>
      </c>
      <c r="E725" s="5">
        <v>3.88</v>
      </c>
      <c r="F725" s="4">
        <v>58</v>
      </c>
      <c r="G725" s="5">
        <v>13.36</v>
      </c>
      <c r="H725" s="4">
        <v>0</v>
      </c>
    </row>
    <row r="726" spans="1:8" x14ac:dyDescent="0.2">
      <c r="A726" s="2" t="s">
        <v>77</v>
      </c>
      <c r="B726" s="4">
        <v>1</v>
      </c>
      <c r="C726" s="5">
        <v>0.08</v>
      </c>
      <c r="D726" s="4">
        <v>0</v>
      </c>
      <c r="E726" s="5">
        <v>0</v>
      </c>
      <c r="F726" s="4">
        <v>1</v>
      </c>
      <c r="G726" s="5">
        <v>0.23</v>
      </c>
      <c r="H726" s="4">
        <v>0</v>
      </c>
    </row>
    <row r="727" spans="1:8" x14ac:dyDescent="0.2">
      <c r="A727" s="2" t="s">
        <v>78</v>
      </c>
      <c r="B727" s="4">
        <v>8</v>
      </c>
      <c r="C727" s="5">
        <v>0.67</v>
      </c>
      <c r="D727" s="4">
        <v>0</v>
      </c>
      <c r="E727" s="5">
        <v>0</v>
      </c>
      <c r="F727" s="4">
        <v>8</v>
      </c>
      <c r="G727" s="5">
        <v>1.84</v>
      </c>
      <c r="H727" s="4">
        <v>0</v>
      </c>
    </row>
    <row r="728" spans="1:8" x14ac:dyDescent="0.2">
      <c r="A728" s="2" t="s">
        <v>79</v>
      </c>
      <c r="B728" s="4">
        <v>16</v>
      </c>
      <c r="C728" s="5">
        <v>1.34</v>
      </c>
      <c r="D728" s="4">
        <v>1</v>
      </c>
      <c r="E728" s="5">
        <v>0.13</v>
      </c>
      <c r="F728" s="4">
        <v>15</v>
      </c>
      <c r="G728" s="5">
        <v>3.46</v>
      </c>
      <c r="H728" s="4">
        <v>0</v>
      </c>
    </row>
    <row r="729" spans="1:8" x14ac:dyDescent="0.2">
      <c r="A729" s="2" t="s">
        <v>80</v>
      </c>
      <c r="B729" s="4">
        <v>246</v>
      </c>
      <c r="C729" s="5">
        <v>20.59</v>
      </c>
      <c r="D729" s="4">
        <v>134</v>
      </c>
      <c r="E729" s="5">
        <v>17.940000000000001</v>
      </c>
      <c r="F729" s="4">
        <v>112</v>
      </c>
      <c r="G729" s="5">
        <v>25.81</v>
      </c>
      <c r="H729" s="4">
        <v>0</v>
      </c>
    </row>
    <row r="730" spans="1:8" x14ac:dyDescent="0.2">
      <c r="A730" s="2" t="s">
        <v>81</v>
      </c>
      <c r="B730" s="4">
        <v>4</v>
      </c>
      <c r="C730" s="5">
        <v>0.33</v>
      </c>
      <c r="D730" s="4">
        <v>2</v>
      </c>
      <c r="E730" s="5">
        <v>0.27</v>
      </c>
      <c r="F730" s="4">
        <v>2</v>
      </c>
      <c r="G730" s="5">
        <v>0.46</v>
      </c>
      <c r="H730" s="4">
        <v>0</v>
      </c>
    </row>
    <row r="731" spans="1:8" x14ac:dyDescent="0.2">
      <c r="A731" s="2" t="s">
        <v>82</v>
      </c>
      <c r="B731" s="4">
        <v>173</v>
      </c>
      <c r="C731" s="5">
        <v>14.48</v>
      </c>
      <c r="D731" s="4">
        <v>136</v>
      </c>
      <c r="E731" s="5">
        <v>18.21</v>
      </c>
      <c r="F731" s="4">
        <v>37</v>
      </c>
      <c r="G731" s="5">
        <v>8.5299999999999994</v>
      </c>
      <c r="H731" s="4">
        <v>0</v>
      </c>
    </row>
    <row r="732" spans="1:8" x14ac:dyDescent="0.2">
      <c r="A732" s="2" t="s">
        <v>83</v>
      </c>
      <c r="B732" s="4">
        <v>40</v>
      </c>
      <c r="C732" s="5">
        <v>3.35</v>
      </c>
      <c r="D732" s="4">
        <v>28</v>
      </c>
      <c r="E732" s="5">
        <v>3.75</v>
      </c>
      <c r="F732" s="4">
        <v>12</v>
      </c>
      <c r="G732" s="5">
        <v>2.76</v>
      </c>
      <c r="H732" s="4">
        <v>0</v>
      </c>
    </row>
    <row r="733" spans="1:8" x14ac:dyDescent="0.2">
      <c r="A733" s="2" t="s">
        <v>84</v>
      </c>
      <c r="B733" s="4">
        <v>120</v>
      </c>
      <c r="C733" s="5">
        <v>10.039999999999999</v>
      </c>
      <c r="D733" s="4">
        <v>105</v>
      </c>
      <c r="E733" s="5">
        <v>14.06</v>
      </c>
      <c r="F733" s="4">
        <v>15</v>
      </c>
      <c r="G733" s="5">
        <v>3.46</v>
      </c>
      <c r="H733" s="4">
        <v>0</v>
      </c>
    </row>
    <row r="734" spans="1:8" x14ac:dyDescent="0.2">
      <c r="A734" s="2" t="s">
        <v>85</v>
      </c>
      <c r="B734" s="4">
        <v>148</v>
      </c>
      <c r="C734" s="5">
        <v>12.38</v>
      </c>
      <c r="D734" s="4">
        <v>127</v>
      </c>
      <c r="E734" s="5">
        <v>17</v>
      </c>
      <c r="F734" s="4">
        <v>21</v>
      </c>
      <c r="G734" s="5">
        <v>4.84</v>
      </c>
      <c r="H734" s="4">
        <v>0</v>
      </c>
    </row>
    <row r="735" spans="1:8" x14ac:dyDescent="0.2">
      <c r="A735" s="2" t="s">
        <v>86</v>
      </c>
      <c r="B735" s="4">
        <v>56</v>
      </c>
      <c r="C735" s="5">
        <v>4.6900000000000004</v>
      </c>
      <c r="D735" s="4">
        <v>42</v>
      </c>
      <c r="E735" s="5">
        <v>5.62</v>
      </c>
      <c r="F735" s="4">
        <v>8</v>
      </c>
      <c r="G735" s="5">
        <v>1.84</v>
      </c>
      <c r="H735" s="4">
        <v>0</v>
      </c>
    </row>
    <row r="736" spans="1:8" x14ac:dyDescent="0.2">
      <c r="A736" s="2" t="s">
        <v>87</v>
      </c>
      <c r="B736" s="4">
        <v>57</v>
      </c>
      <c r="C736" s="5">
        <v>4.7699999999999996</v>
      </c>
      <c r="D736" s="4">
        <v>34</v>
      </c>
      <c r="E736" s="5">
        <v>4.55</v>
      </c>
      <c r="F736" s="4">
        <v>16</v>
      </c>
      <c r="G736" s="5">
        <v>3.69</v>
      </c>
      <c r="H736" s="4">
        <v>5</v>
      </c>
    </row>
    <row r="737" spans="1:8" x14ac:dyDescent="0.2">
      <c r="A737" s="2" t="s">
        <v>88</v>
      </c>
      <c r="B737" s="4">
        <v>55</v>
      </c>
      <c r="C737" s="5">
        <v>4.5999999999999996</v>
      </c>
      <c r="D737" s="4">
        <v>31</v>
      </c>
      <c r="E737" s="5">
        <v>4.1500000000000004</v>
      </c>
      <c r="F737" s="4">
        <v>23</v>
      </c>
      <c r="G737" s="5">
        <v>5.3</v>
      </c>
      <c r="H737" s="4">
        <v>0</v>
      </c>
    </row>
    <row r="738" spans="1:8" x14ac:dyDescent="0.2">
      <c r="A738" s="1" t="s">
        <v>46</v>
      </c>
      <c r="B738" s="4">
        <v>1140</v>
      </c>
      <c r="C738" s="5">
        <v>99.990000000000009</v>
      </c>
      <c r="D738" s="4">
        <v>564</v>
      </c>
      <c r="E738" s="5">
        <v>99.99</v>
      </c>
      <c r="F738" s="4">
        <v>567</v>
      </c>
      <c r="G738" s="5">
        <v>99.99</v>
      </c>
      <c r="H738" s="4">
        <v>2</v>
      </c>
    </row>
    <row r="739" spans="1:8" x14ac:dyDescent="0.2">
      <c r="A739" s="2" t="s">
        <v>74</v>
      </c>
      <c r="B739" s="4">
        <v>0</v>
      </c>
      <c r="C739" s="5">
        <v>0</v>
      </c>
      <c r="D739" s="4">
        <v>0</v>
      </c>
      <c r="E739" s="5">
        <v>0</v>
      </c>
      <c r="F739" s="4">
        <v>0</v>
      </c>
      <c r="G739" s="5">
        <v>0</v>
      </c>
      <c r="H739" s="4">
        <v>0</v>
      </c>
    </row>
    <row r="740" spans="1:8" x14ac:dyDescent="0.2">
      <c r="A740" s="2" t="s">
        <v>75</v>
      </c>
      <c r="B740" s="4">
        <v>179</v>
      </c>
      <c r="C740" s="5">
        <v>15.7</v>
      </c>
      <c r="D740" s="4">
        <v>36</v>
      </c>
      <c r="E740" s="5">
        <v>6.38</v>
      </c>
      <c r="F740" s="4">
        <v>143</v>
      </c>
      <c r="G740" s="5">
        <v>25.22</v>
      </c>
      <c r="H740" s="4">
        <v>0</v>
      </c>
    </row>
    <row r="741" spans="1:8" x14ac:dyDescent="0.2">
      <c r="A741" s="2" t="s">
        <v>76</v>
      </c>
      <c r="B741" s="4">
        <v>67</v>
      </c>
      <c r="C741" s="5">
        <v>5.88</v>
      </c>
      <c r="D741" s="4">
        <v>18</v>
      </c>
      <c r="E741" s="5">
        <v>3.19</v>
      </c>
      <c r="F741" s="4">
        <v>49</v>
      </c>
      <c r="G741" s="5">
        <v>8.64</v>
      </c>
      <c r="H741" s="4">
        <v>0</v>
      </c>
    </row>
    <row r="742" spans="1:8" x14ac:dyDescent="0.2">
      <c r="A742" s="2" t="s">
        <v>77</v>
      </c>
      <c r="B742" s="4">
        <v>1</v>
      </c>
      <c r="C742" s="5">
        <v>0.09</v>
      </c>
      <c r="D742" s="4">
        <v>0</v>
      </c>
      <c r="E742" s="5">
        <v>0</v>
      </c>
      <c r="F742" s="4">
        <v>1</v>
      </c>
      <c r="G742" s="5">
        <v>0.18</v>
      </c>
      <c r="H742" s="4">
        <v>0</v>
      </c>
    </row>
    <row r="743" spans="1:8" x14ac:dyDescent="0.2">
      <c r="A743" s="2" t="s">
        <v>78</v>
      </c>
      <c r="B743" s="4">
        <v>7</v>
      </c>
      <c r="C743" s="5">
        <v>0.61</v>
      </c>
      <c r="D743" s="4">
        <v>0</v>
      </c>
      <c r="E743" s="5">
        <v>0</v>
      </c>
      <c r="F743" s="4">
        <v>7</v>
      </c>
      <c r="G743" s="5">
        <v>1.23</v>
      </c>
      <c r="H743" s="4">
        <v>0</v>
      </c>
    </row>
    <row r="744" spans="1:8" x14ac:dyDescent="0.2">
      <c r="A744" s="2" t="s">
        <v>79</v>
      </c>
      <c r="B744" s="4">
        <v>9</v>
      </c>
      <c r="C744" s="5">
        <v>0.79</v>
      </c>
      <c r="D744" s="4">
        <v>1</v>
      </c>
      <c r="E744" s="5">
        <v>0.18</v>
      </c>
      <c r="F744" s="4">
        <v>8</v>
      </c>
      <c r="G744" s="5">
        <v>1.41</v>
      </c>
      <c r="H744" s="4">
        <v>0</v>
      </c>
    </row>
    <row r="745" spans="1:8" x14ac:dyDescent="0.2">
      <c r="A745" s="2" t="s">
        <v>80</v>
      </c>
      <c r="B745" s="4">
        <v>208</v>
      </c>
      <c r="C745" s="5">
        <v>18.25</v>
      </c>
      <c r="D745" s="4">
        <v>100</v>
      </c>
      <c r="E745" s="5">
        <v>17.73</v>
      </c>
      <c r="F745" s="4">
        <v>108</v>
      </c>
      <c r="G745" s="5">
        <v>19.05</v>
      </c>
      <c r="H745" s="4">
        <v>0</v>
      </c>
    </row>
    <row r="746" spans="1:8" x14ac:dyDescent="0.2">
      <c r="A746" s="2" t="s">
        <v>81</v>
      </c>
      <c r="B746" s="4">
        <v>11</v>
      </c>
      <c r="C746" s="5">
        <v>0.96</v>
      </c>
      <c r="D746" s="4">
        <v>1</v>
      </c>
      <c r="E746" s="5">
        <v>0.18</v>
      </c>
      <c r="F746" s="4">
        <v>10</v>
      </c>
      <c r="G746" s="5">
        <v>1.76</v>
      </c>
      <c r="H746" s="4">
        <v>0</v>
      </c>
    </row>
    <row r="747" spans="1:8" x14ac:dyDescent="0.2">
      <c r="A747" s="2" t="s">
        <v>82</v>
      </c>
      <c r="B747" s="4">
        <v>111</v>
      </c>
      <c r="C747" s="5">
        <v>9.74</v>
      </c>
      <c r="D747" s="4">
        <v>33</v>
      </c>
      <c r="E747" s="5">
        <v>5.85</v>
      </c>
      <c r="F747" s="4">
        <v>77</v>
      </c>
      <c r="G747" s="5">
        <v>13.58</v>
      </c>
      <c r="H747" s="4">
        <v>1</v>
      </c>
    </row>
    <row r="748" spans="1:8" x14ac:dyDescent="0.2">
      <c r="A748" s="2" t="s">
        <v>83</v>
      </c>
      <c r="B748" s="4">
        <v>78</v>
      </c>
      <c r="C748" s="5">
        <v>6.84</v>
      </c>
      <c r="D748" s="4">
        <v>37</v>
      </c>
      <c r="E748" s="5">
        <v>6.56</v>
      </c>
      <c r="F748" s="4">
        <v>41</v>
      </c>
      <c r="G748" s="5">
        <v>7.23</v>
      </c>
      <c r="H748" s="4">
        <v>0</v>
      </c>
    </row>
    <row r="749" spans="1:8" x14ac:dyDescent="0.2">
      <c r="A749" s="2" t="s">
        <v>84</v>
      </c>
      <c r="B749" s="4">
        <v>122</v>
      </c>
      <c r="C749" s="5">
        <v>10.7</v>
      </c>
      <c r="D749" s="4">
        <v>100</v>
      </c>
      <c r="E749" s="5">
        <v>17.73</v>
      </c>
      <c r="F749" s="4">
        <v>21</v>
      </c>
      <c r="G749" s="5">
        <v>3.7</v>
      </c>
      <c r="H749" s="4">
        <v>1</v>
      </c>
    </row>
    <row r="750" spans="1:8" x14ac:dyDescent="0.2">
      <c r="A750" s="2" t="s">
        <v>85</v>
      </c>
      <c r="B750" s="4">
        <v>167</v>
      </c>
      <c r="C750" s="5">
        <v>14.65</v>
      </c>
      <c r="D750" s="4">
        <v>132</v>
      </c>
      <c r="E750" s="5">
        <v>23.4</v>
      </c>
      <c r="F750" s="4">
        <v>35</v>
      </c>
      <c r="G750" s="5">
        <v>6.17</v>
      </c>
      <c r="H750" s="4">
        <v>0</v>
      </c>
    </row>
    <row r="751" spans="1:8" x14ac:dyDescent="0.2">
      <c r="A751" s="2" t="s">
        <v>86</v>
      </c>
      <c r="B751" s="4">
        <v>74</v>
      </c>
      <c r="C751" s="5">
        <v>6.49</v>
      </c>
      <c r="D751" s="4">
        <v>47</v>
      </c>
      <c r="E751" s="5">
        <v>8.33</v>
      </c>
      <c r="F751" s="4">
        <v>20</v>
      </c>
      <c r="G751" s="5">
        <v>3.53</v>
      </c>
      <c r="H751" s="4">
        <v>0</v>
      </c>
    </row>
    <row r="752" spans="1:8" x14ac:dyDescent="0.2">
      <c r="A752" s="2" t="s">
        <v>87</v>
      </c>
      <c r="B752" s="4">
        <v>73</v>
      </c>
      <c r="C752" s="5">
        <v>6.4</v>
      </c>
      <c r="D752" s="4">
        <v>51</v>
      </c>
      <c r="E752" s="5">
        <v>9.0399999999999991</v>
      </c>
      <c r="F752" s="4">
        <v>22</v>
      </c>
      <c r="G752" s="5">
        <v>3.88</v>
      </c>
      <c r="H752" s="4">
        <v>0</v>
      </c>
    </row>
    <row r="753" spans="1:8" x14ac:dyDescent="0.2">
      <c r="A753" s="2" t="s">
        <v>88</v>
      </c>
      <c r="B753" s="4">
        <v>33</v>
      </c>
      <c r="C753" s="5">
        <v>2.89</v>
      </c>
      <c r="D753" s="4">
        <v>8</v>
      </c>
      <c r="E753" s="5">
        <v>1.42</v>
      </c>
      <c r="F753" s="4">
        <v>25</v>
      </c>
      <c r="G753" s="5">
        <v>4.41</v>
      </c>
      <c r="H753" s="4">
        <v>0</v>
      </c>
    </row>
    <row r="754" spans="1:8" x14ac:dyDescent="0.2">
      <c r="A754" s="1" t="s">
        <v>47</v>
      </c>
      <c r="B754" s="4">
        <v>1019</v>
      </c>
      <c r="C754" s="5">
        <v>99.980000000000018</v>
      </c>
      <c r="D754" s="4">
        <v>447</v>
      </c>
      <c r="E754" s="5">
        <v>100.00000000000001</v>
      </c>
      <c r="F754" s="4">
        <v>567</v>
      </c>
      <c r="G754" s="5">
        <v>99.999999999999986</v>
      </c>
      <c r="H754" s="4">
        <v>2</v>
      </c>
    </row>
    <row r="755" spans="1:8" x14ac:dyDescent="0.2">
      <c r="A755" s="2" t="s">
        <v>74</v>
      </c>
      <c r="B755" s="4">
        <v>0</v>
      </c>
      <c r="C755" s="5">
        <v>0</v>
      </c>
      <c r="D755" s="4">
        <v>0</v>
      </c>
      <c r="E755" s="5">
        <v>0</v>
      </c>
      <c r="F755" s="4">
        <v>0</v>
      </c>
      <c r="G755" s="5">
        <v>0</v>
      </c>
      <c r="H755" s="4">
        <v>0</v>
      </c>
    </row>
    <row r="756" spans="1:8" x14ac:dyDescent="0.2">
      <c r="A756" s="2" t="s">
        <v>75</v>
      </c>
      <c r="B756" s="4">
        <v>219</v>
      </c>
      <c r="C756" s="5">
        <v>21.49</v>
      </c>
      <c r="D756" s="4">
        <v>66</v>
      </c>
      <c r="E756" s="5">
        <v>14.77</v>
      </c>
      <c r="F756" s="4">
        <v>153</v>
      </c>
      <c r="G756" s="5">
        <v>26.98</v>
      </c>
      <c r="H756" s="4">
        <v>0</v>
      </c>
    </row>
    <row r="757" spans="1:8" x14ac:dyDescent="0.2">
      <c r="A757" s="2" t="s">
        <v>76</v>
      </c>
      <c r="B757" s="4">
        <v>159</v>
      </c>
      <c r="C757" s="5">
        <v>15.6</v>
      </c>
      <c r="D757" s="4">
        <v>41</v>
      </c>
      <c r="E757" s="5">
        <v>9.17</v>
      </c>
      <c r="F757" s="4">
        <v>118</v>
      </c>
      <c r="G757" s="5">
        <v>20.81</v>
      </c>
      <c r="H757" s="4">
        <v>0</v>
      </c>
    </row>
    <row r="758" spans="1:8" x14ac:dyDescent="0.2">
      <c r="A758" s="2" t="s">
        <v>77</v>
      </c>
      <c r="B758" s="4">
        <v>2</v>
      </c>
      <c r="C758" s="5">
        <v>0.2</v>
      </c>
      <c r="D758" s="4">
        <v>0</v>
      </c>
      <c r="E758" s="5">
        <v>0</v>
      </c>
      <c r="F758" s="4">
        <v>2</v>
      </c>
      <c r="G758" s="5">
        <v>0.35</v>
      </c>
      <c r="H758" s="4">
        <v>0</v>
      </c>
    </row>
    <row r="759" spans="1:8" x14ac:dyDescent="0.2">
      <c r="A759" s="2" t="s">
        <v>78</v>
      </c>
      <c r="B759" s="4">
        <v>11</v>
      </c>
      <c r="C759" s="5">
        <v>1.08</v>
      </c>
      <c r="D759" s="4">
        <v>1</v>
      </c>
      <c r="E759" s="5">
        <v>0.22</v>
      </c>
      <c r="F759" s="4">
        <v>10</v>
      </c>
      <c r="G759" s="5">
        <v>1.76</v>
      </c>
      <c r="H759" s="4">
        <v>0</v>
      </c>
    </row>
    <row r="760" spans="1:8" x14ac:dyDescent="0.2">
      <c r="A760" s="2" t="s">
        <v>79</v>
      </c>
      <c r="B760" s="4">
        <v>21</v>
      </c>
      <c r="C760" s="5">
        <v>2.06</v>
      </c>
      <c r="D760" s="4">
        <v>2</v>
      </c>
      <c r="E760" s="5">
        <v>0.45</v>
      </c>
      <c r="F760" s="4">
        <v>19</v>
      </c>
      <c r="G760" s="5">
        <v>3.35</v>
      </c>
      <c r="H760" s="4">
        <v>0</v>
      </c>
    </row>
    <row r="761" spans="1:8" x14ac:dyDescent="0.2">
      <c r="A761" s="2" t="s">
        <v>80</v>
      </c>
      <c r="B761" s="4">
        <v>178</v>
      </c>
      <c r="C761" s="5">
        <v>17.47</v>
      </c>
      <c r="D761" s="4">
        <v>84</v>
      </c>
      <c r="E761" s="5">
        <v>18.79</v>
      </c>
      <c r="F761" s="4">
        <v>94</v>
      </c>
      <c r="G761" s="5">
        <v>16.579999999999998</v>
      </c>
      <c r="H761" s="4">
        <v>0</v>
      </c>
    </row>
    <row r="762" spans="1:8" x14ac:dyDescent="0.2">
      <c r="A762" s="2" t="s">
        <v>81</v>
      </c>
      <c r="B762" s="4">
        <v>3</v>
      </c>
      <c r="C762" s="5">
        <v>0.28999999999999998</v>
      </c>
      <c r="D762" s="4">
        <v>1</v>
      </c>
      <c r="E762" s="5">
        <v>0.22</v>
      </c>
      <c r="F762" s="4">
        <v>2</v>
      </c>
      <c r="G762" s="5">
        <v>0.35</v>
      </c>
      <c r="H762" s="4">
        <v>0</v>
      </c>
    </row>
    <row r="763" spans="1:8" x14ac:dyDescent="0.2">
      <c r="A763" s="2" t="s">
        <v>82</v>
      </c>
      <c r="B763" s="4">
        <v>63</v>
      </c>
      <c r="C763" s="5">
        <v>6.18</v>
      </c>
      <c r="D763" s="4">
        <v>10</v>
      </c>
      <c r="E763" s="5">
        <v>2.2400000000000002</v>
      </c>
      <c r="F763" s="4">
        <v>53</v>
      </c>
      <c r="G763" s="5">
        <v>9.35</v>
      </c>
      <c r="H763" s="4">
        <v>0</v>
      </c>
    </row>
    <row r="764" spans="1:8" x14ac:dyDescent="0.2">
      <c r="A764" s="2" t="s">
        <v>83</v>
      </c>
      <c r="B764" s="4">
        <v>38</v>
      </c>
      <c r="C764" s="5">
        <v>3.73</v>
      </c>
      <c r="D764" s="4">
        <v>13</v>
      </c>
      <c r="E764" s="5">
        <v>2.91</v>
      </c>
      <c r="F764" s="4">
        <v>25</v>
      </c>
      <c r="G764" s="5">
        <v>4.41</v>
      </c>
      <c r="H764" s="4">
        <v>0</v>
      </c>
    </row>
    <row r="765" spans="1:8" x14ac:dyDescent="0.2">
      <c r="A765" s="2" t="s">
        <v>84</v>
      </c>
      <c r="B765" s="4">
        <v>102</v>
      </c>
      <c r="C765" s="5">
        <v>10.01</v>
      </c>
      <c r="D765" s="4">
        <v>83</v>
      </c>
      <c r="E765" s="5">
        <v>18.57</v>
      </c>
      <c r="F765" s="4">
        <v>19</v>
      </c>
      <c r="G765" s="5">
        <v>3.35</v>
      </c>
      <c r="H765" s="4">
        <v>0</v>
      </c>
    </row>
    <row r="766" spans="1:8" x14ac:dyDescent="0.2">
      <c r="A766" s="2" t="s">
        <v>85</v>
      </c>
      <c r="B766" s="4">
        <v>100</v>
      </c>
      <c r="C766" s="5">
        <v>9.81</v>
      </c>
      <c r="D766" s="4">
        <v>75</v>
      </c>
      <c r="E766" s="5">
        <v>16.78</v>
      </c>
      <c r="F766" s="4">
        <v>23</v>
      </c>
      <c r="G766" s="5">
        <v>4.0599999999999996</v>
      </c>
      <c r="H766" s="4">
        <v>2</v>
      </c>
    </row>
    <row r="767" spans="1:8" x14ac:dyDescent="0.2">
      <c r="A767" s="2" t="s">
        <v>86</v>
      </c>
      <c r="B767" s="4">
        <v>36</v>
      </c>
      <c r="C767" s="5">
        <v>3.53</v>
      </c>
      <c r="D767" s="4">
        <v>27</v>
      </c>
      <c r="E767" s="5">
        <v>6.04</v>
      </c>
      <c r="F767" s="4">
        <v>6</v>
      </c>
      <c r="G767" s="5">
        <v>1.06</v>
      </c>
      <c r="H767" s="4">
        <v>0</v>
      </c>
    </row>
    <row r="768" spans="1:8" x14ac:dyDescent="0.2">
      <c r="A768" s="2" t="s">
        <v>87</v>
      </c>
      <c r="B768" s="4">
        <v>36</v>
      </c>
      <c r="C768" s="5">
        <v>3.53</v>
      </c>
      <c r="D768" s="4">
        <v>19</v>
      </c>
      <c r="E768" s="5">
        <v>4.25</v>
      </c>
      <c r="F768" s="4">
        <v>17</v>
      </c>
      <c r="G768" s="5">
        <v>3</v>
      </c>
      <c r="H768" s="4">
        <v>0</v>
      </c>
    </row>
    <row r="769" spans="1:8" x14ac:dyDescent="0.2">
      <c r="A769" s="2" t="s">
        <v>88</v>
      </c>
      <c r="B769" s="4">
        <v>51</v>
      </c>
      <c r="C769" s="5">
        <v>5</v>
      </c>
      <c r="D769" s="4">
        <v>25</v>
      </c>
      <c r="E769" s="5">
        <v>5.59</v>
      </c>
      <c r="F769" s="4">
        <v>26</v>
      </c>
      <c r="G769" s="5">
        <v>4.59</v>
      </c>
      <c r="H769" s="4">
        <v>0</v>
      </c>
    </row>
    <row r="770" spans="1:8" x14ac:dyDescent="0.2">
      <c r="A770" s="1" t="s">
        <v>48</v>
      </c>
      <c r="B770" s="4">
        <v>1226</v>
      </c>
      <c r="C770" s="5">
        <v>99.99</v>
      </c>
      <c r="D770" s="4">
        <v>504</v>
      </c>
      <c r="E770" s="5">
        <v>100.01</v>
      </c>
      <c r="F770" s="4">
        <v>712</v>
      </c>
      <c r="G770" s="5">
        <v>99.990000000000009</v>
      </c>
      <c r="H770" s="4">
        <v>2</v>
      </c>
    </row>
    <row r="771" spans="1:8" x14ac:dyDescent="0.2">
      <c r="A771" s="2" t="s">
        <v>74</v>
      </c>
      <c r="B771" s="4">
        <v>0</v>
      </c>
      <c r="C771" s="5">
        <v>0</v>
      </c>
      <c r="D771" s="4">
        <v>0</v>
      </c>
      <c r="E771" s="5">
        <v>0</v>
      </c>
      <c r="F771" s="4">
        <v>0</v>
      </c>
      <c r="G771" s="5">
        <v>0</v>
      </c>
      <c r="H771" s="4">
        <v>0</v>
      </c>
    </row>
    <row r="772" spans="1:8" x14ac:dyDescent="0.2">
      <c r="A772" s="2" t="s">
        <v>75</v>
      </c>
      <c r="B772" s="4">
        <v>210</v>
      </c>
      <c r="C772" s="5">
        <v>17.13</v>
      </c>
      <c r="D772" s="4">
        <v>44</v>
      </c>
      <c r="E772" s="5">
        <v>8.73</v>
      </c>
      <c r="F772" s="4">
        <v>166</v>
      </c>
      <c r="G772" s="5">
        <v>23.31</v>
      </c>
      <c r="H772" s="4">
        <v>0</v>
      </c>
    </row>
    <row r="773" spans="1:8" x14ac:dyDescent="0.2">
      <c r="A773" s="2" t="s">
        <v>76</v>
      </c>
      <c r="B773" s="4">
        <v>255</v>
      </c>
      <c r="C773" s="5">
        <v>20.8</v>
      </c>
      <c r="D773" s="4">
        <v>68</v>
      </c>
      <c r="E773" s="5">
        <v>13.49</v>
      </c>
      <c r="F773" s="4">
        <v>187</v>
      </c>
      <c r="G773" s="5">
        <v>26.26</v>
      </c>
      <c r="H773" s="4">
        <v>0</v>
      </c>
    </row>
    <row r="774" spans="1:8" x14ac:dyDescent="0.2">
      <c r="A774" s="2" t="s">
        <v>77</v>
      </c>
      <c r="B774" s="4">
        <v>0</v>
      </c>
      <c r="C774" s="5">
        <v>0</v>
      </c>
      <c r="D774" s="4">
        <v>0</v>
      </c>
      <c r="E774" s="5">
        <v>0</v>
      </c>
      <c r="F774" s="4">
        <v>0</v>
      </c>
      <c r="G774" s="5">
        <v>0</v>
      </c>
      <c r="H774" s="4">
        <v>0</v>
      </c>
    </row>
    <row r="775" spans="1:8" x14ac:dyDescent="0.2">
      <c r="A775" s="2" t="s">
        <v>78</v>
      </c>
      <c r="B775" s="4">
        <v>11</v>
      </c>
      <c r="C775" s="5">
        <v>0.9</v>
      </c>
      <c r="D775" s="4">
        <v>0</v>
      </c>
      <c r="E775" s="5">
        <v>0</v>
      </c>
      <c r="F775" s="4">
        <v>11</v>
      </c>
      <c r="G775" s="5">
        <v>1.54</v>
      </c>
      <c r="H775" s="4">
        <v>0</v>
      </c>
    </row>
    <row r="776" spans="1:8" x14ac:dyDescent="0.2">
      <c r="A776" s="2" t="s">
        <v>79</v>
      </c>
      <c r="B776" s="4">
        <v>13</v>
      </c>
      <c r="C776" s="5">
        <v>1.06</v>
      </c>
      <c r="D776" s="4">
        <v>2</v>
      </c>
      <c r="E776" s="5">
        <v>0.4</v>
      </c>
      <c r="F776" s="4">
        <v>11</v>
      </c>
      <c r="G776" s="5">
        <v>1.54</v>
      </c>
      <c r="H776" s="4">
        <v>0</v>
      </c>
    </row>
    <row r="777" spans="1:8" x14ac:dyDescent="0.2">
      <c r="A777" s="2" t="s">
        <v>80</v>
      </c>
      <c r="B777" s="4">
        <v>200</v>
      </c>
      <c r="C777" s="5">
        <v>16.309999999999999</v>
      </c>
      <c r="D777" s="4">
        <v>84</v>
      </c>
      <c r="E777" s="5">
        <v>16.670000000000002</v>
      </c>
      <c r="F777" s="4">
        <v>115</v>
      </c>
      <c r="G777" s="5">
        <v>16.149999999999999</v>
      </c>
      <c r="H777" s="4">
        <v>1</v>
      </c>
    </row>
    <row r="778" spans="1:8" x14ac:dyDescent="0.2">
      <c r="A778" s="2" t="s">
        <v>81</v>
      </c>
      <c r="B778" s="4">
        <v>2</v>
      </c>
      <c r="C778" s="5">
        <v>0.16</v>
      </c>
      <c r="D778" s="4">
        <v>1</v>
      </c>
      <c r="E778" s="5">
        <v>0.2</v>
      </c>
      <c r="F778" s="4">
        <v>1</v>
      </c>
      <c r="G778" s="5">
        <v>0.14000000000000001</v>
      </c>
      <c r="H778" s="4">
        <v>0</v>
      </c>
    </row>
    <row r="779" spans="1:8" x14ac:dyDescent="0.2">
      <c r="A779" s="2" t="s">
        <v>82</v>
      </c>
      <c r="B779" s="4">
        <v>100</v>
      </c>
      <c r="C779" s="5">
        <v>8.16</v>
      </c>
      <c r="D779" s="4">
        <v>27</v>
      </c>
      <c r="E779" s="5">
        <v>5.36</v>
      </c>
      <c r="F779" s="4">
        <v>73</v>
      </c>
      <c r="G779" s="5">
        <v>10.25</v>
      </c>
      <c r="H779" s="4">
        <v>0</v>
      </c>
    </row>
    <row r="780" spans="1:8" x14ac:dyDescent="0.2">
      <c r="A780" s="2" t="s">
        <v>83</v>
      </c>
      <c r="B780" s="4">
        <v>47</v>
      </c>
      <c r="C780" s="5">
        <v>3.83</v>
      </c>
      <c r="D780" s="4">
        <v>20</v>
      </c>
      <c r="E780" s="5">
        <v>3.97</v>
      </c>
      <c r="F780" s="4">
        <v>27</v>
      </c>
      <c r="G780" s="5">
        <v>3.79</v>
      </c>
      <c r="H780" s="4">
        <v>0</v>
      </c>
    </row>
    <row r="781" spans="1:8" x14ac:dyDescent="0.2">
      <c r="A781" s="2" t="s">
        <v>84</v>
      </c>
      <c r="B781" s="4">
        <v>85</v>
      </c>
      <c r="C781" s="5">
        <v>6.93</v>
      </c>
      <c r="D781" s="4">
        <v>70</v>
      </c>
      <c r="E781" s="5">
        <v>13.89</v>
      </c>
      <c r="F781" s="4">
        <v>14</v>
      </c>
      <c r="G781" s="5">
        <v>1.97</v>
      </c>
      <c r="H781" s="4">
        <v>0</v>
      </c>
    </row>
    <row r="782" spans="1:8" x14ac:dyDescent="0.2">
      <c r="A782" s="2" t="s">
        <v>85</v>
      </c>
      <c r="B782" s="4">
        <v>148</v>
      </c>
      <c r="C782" s="5">
        <v>12.07</v>
      </c>
      <c r="D782" s="4">
        <v>111</v>
      </c>
      <c r="E782" s="5">
        <v>22.02</v>
      </c>
      <c r="F782" s="4">
        <v>37</v>
      </c>
      <c r="G782" s="5">
        <v>5.2</v>
      </c>
      <c r="H782" s="4">
        <v>0</v>
      </c>
    </row>
    <row r="783" spans="1:8" x14ac:dyDescent="0.2">
      <c r="A783" s="2" t="s">
        <v>86</v>
      </c>
      <c r="B783" s="4">
        <v>41</v>
      </c>
      <c r="C783" s="5">
        <v>3.34</v>
      </c>
      <c r="D783" s="4">
        <v>20</v>
      </c>
      <c r="E783" s="5">
        <v>3.97</v>
      </c>
      <c r="F783" s="4">
        <v>18</v>
      </c>
      <c r="G783" s="5">
        <v>2.5299999999999998</v>
      </c>
      <c r="H783" s="4">
        <v>0</v>
      </c>
    </row>
    <row r="784" spans="1:8" x14ac:dyDescent="0.2">
      <c r="A784" s="2" t="s">
        <v>87</v>
      </c>
      <c r="B784" s="4">
        <v>53</v>
      </c>
      <c r="C784" s="5">
        <v>4.32</v>
      </c>
      <c r="D784" s="4">
        <v>37</v>
      </c>
      <c r="E784" s="5">
        <v>7.34</v>
      </c>
      <c r="F784" s="4">
        <v>13</v>
      </c>
      <c r="G784" s="5">
        <v>1.83</v>
      </c>
      <c r="H784" s="4">
        <v>0</v>
      </c>
    </row>
    <row r="785" spans="1:8" x14ac:dyDescent="0.2">
      <c r="A785" s="2" t="s">
        <v>88</v>
      </c>
      <c r="B785" s="4">
        <v>61</v>
      </c>
      <c r="C785" s="5">
        <v>4.9800000000000004</v>
      </c>
      <c r="D785" s="4">
        <v>20</v>
      </c>
      <c r="E785" s="5">
        <v>3.97</v>
      </c>
      <c r="F785" s="4">
        <v>39</v>
      </c>
      <c r="G785" s="5">
        <v>5.48</v>
      </c>
      <c r="H785" s="4">
        <v>1</v>
      </c>
    </row>
    <row r="786" spans="1:8" x14ac:dyDescent="0.2">
      <c r="A786" s="1" t="s">
        <v>49</v>
      </c>
      <c r="B786" s="4">
        <v>1670</v>
      </c>
      <c r="C786" s="5">
        <v>100</v>
      </c>
      <c r="D786" s="4">
        <v>758</v>
      </c>
      <c r="E786" s="5">
        <v>99.990000000000009</v>
      </c>
      <c r="F786" s="4">
        <v>907</v>
      </c>
      <c r="G786" s="5">
        <v>99.99</v>
      </c>
      <c r="H786" s="4">
        <v>0</v>
      </c>
    </row>
    <row r="787" spans="1:8" x14ac:dyDescent="0.2">
      <c r="A787" s="2" t="s">
        <v>74</v>
      </c>
      <c r="B787" s="4">
        <v>0</v>
      </c>
      <c r="C787" s="5">
        <v>0</v>
      </c>
      <c r="D787" s="4">
        <v>0</v>
      </c>
      <c r="E787" s="5">
        <v>0</v>
      </c>
      <c r="F787" s="4">
        <v>0</v>
      </c>
      <c r="G787" s="5">
        <v>0</v>
      </c>
      <c r="H787" s="4">
        <v>0</v>
      </c>
    </row>
    <row r="788" spans="1:8" x14ac:dyDescent="0.2">
      <c r="A788" s="2" t="s">
        <v>75</v>
      </c>
      <c r="B788" s="4">
        <v>248</v>
      </c>
      <c r="C788" s="5">
        <v>14.85</v>
      </c>
      <c r="D788" s="4">
        <v>43</v>
      </c>
      <c r="E788" s="5">
        <v>5.67</v>
      </c>
      <c r="F788" s="4">
        <v>205</v>
      </c>
      <c r="G788" s="5">
        <v>22.6</v>
      </c>
      <c r="H788" s="4">
        <v>0</v>
      </c>
    </row>
    <row r="789" spans="1:8" x14ac:dyDescent="0.2">
      <c r="A789" s="2" t="s">
        <v>76</v>
      </c>
      <c r="B789" s="4">
        <v>148</v>
      </c>
      <c r="C789" s="5">
        <v>8.86</v>
      </c>
      <c r="D789" s="4">
        <v>46</v>
      </c>
      <c r="E789" s="5">
        <v>6.07</v>
      </c>
      <c r="F789" s="4">
        <v>102</v>
      </c>
      <c r="G789" s="5">
        <v>11.25</v>
      </c>
      <c r="H789" s="4">
        <v>0</v>
      </c>
    </row>
    <row r="790" spans="1:8" x14ac:dyDescent="0.2">
      <c r="A790" s="2" t="s">
        <v>77</v>
      </c>
      <c r="B790" s="4">
        <v>1</v>
      </c>
      <c r="C790" s="5">
        <v>0.06</v>
      </c>
      <c r="D790" s="4">
        <v>0</v>
      </c>
      <c r="E790" s="5">
        <v>0</v>
      </c>
      <c r="F790" s="4">
        <v>1</v>
      </c>
      <c r="G790" s="5">
        <v>0.11</v>
      </c>
      <c r="H790" s="4">
        <v>0</v>
      </c>
    </row>
    <row r="791" spans="1:8" x14ac:dyDescent="0.2">
      <c r="A791" s="2" t="s">
        <v>78</v>
      </c>
      <c r="B791" s="4">
        <v>19</v>
      </c>
      <c r="C791" s="5">
        <v>1.1399999999999999</v>
      </c>
      <c r="D791" s="4">
        <v>1</v>
      </c>
      <c r="E791" s="5">
        <v>0.13</v>
      </c>
      <c r="F791" s="4">
        <v>18</v>
      </c>
      <c r="G791" s="5">
        <v>1.98</v>
      </c>
      <c r="H791" s="4">
        <v>0</v>
      </c>
    </row>
    <row r="792" spans="1:8" x14ac:dyDescent="0.2">
      <c r="A792" s="2" t="s">
        <v>79</v>
      </c>
      <c r="B792" s="4">
        <v>11</v>
      </c>
      <c r="C792" s="5">
        <v>0.66</v>
      </c>
      <c r="D792" s="4">
        <v>0</v>
      </c>
      <c r="E792" s="5">
        <v>0</v>
      </c>
      <c r="F792" s="4">
        <v>11</v>
      </c>
      <c r="G792" s="5">
        <v>1.21</v>
      </c>
      <c r="H792" s="4">
        <v>0</v>
      </c>
    </row>
    <row r="793" spans="1:8" x14ac:dyDescent="0.2">
      <c r="A793" s="2" t="s">
        <v>80</v>
      </c>
      <c r="B793" s="4">
        <v>322</v>
      </c>
      <c r="C793" s="5">
        <v>19.28</v>
      </c>
      <c r="D793" s="4">
        <v>152</v>
      </c>
      <c r="E793" s="5">
        <v>20.05</v>
      </c>
      <c r="F793" s="4">
        <v>170</v>
      </c>
      <c r="G793" s="5">
        <v>18.739999999999998</v>
      </c>
      <c r="H793" s="4">
        <v>0</v>
      </c>
    </row>
    <row r="794" spans="1:8" x14ac:dyDescent="0.2">
      <c r="A794" s="2" t="s">
        <v>81</v>
      </c>
      <c r="B794" s="4">
        <v>12</v>
      </c>
      <c r="C794" s="5">
        <v>0.72</v>
      </c>
      <c r="D794" s="4">
        <v>2</v>
      </c>
      <c r="E794" s="5">
        <v>0.26</v>
      </c>
      <c r="F794" s="4">
        <v>10</v>
      </c>
      <c r="G794" s="5">
        <v>1.1000000000000001</v>
      </c>
      <c r="H794" s="4">
        <v>0</v>
      </c>
    </row>
    <row r="795" spans="1:8" x14ac:dyDescent="0.2">
      <c r="A795" s="2" t="s">
        <v>82</v>
      </c>
      <c r="B795" s="4">
        <v>180</v>
      </c>
      <c r="C795" s="5">
        <v>10.78</v>
      </c>
      <c r="D795" s="4">
        <v>22</v>
      </c>
      <c r="E795" s="5">
        <v>2.9</v>
      </c>
      <c r="F795" s="4">
        <v>158</v>
      </c>
      <c r="G795" s="5">
        <v>17.420000000000002</v>
      </c>
      <c r="H795" s="4">
        <v>0</v>
      </c>
    </row>
    <row r="796" spans="1:8" x14ac:dyDescent="0.2">
      <c r="A796" s="2" t="s">
        <v>83</v>
      </c>
      <c r="B796" s="4">
        <v>84</v>
      </c>
      <c r="C796" s="5">
        <v>5.03</v>
      </c>
      <c r="D796" s="4">
        <v>39</v>
      </c>
      <c r="E796" s="5">
        <v>5.15</v>
      </c>
      <c r="F796" s="4">
        <v>45</v>
      </c>
      <c r="G796" s="5">
        <v>4.96</v>
      </c>
      <c r="H796" s="4">
        <v>0</v>
      </c>
    </row>
    <row r="797" spans="1:8" x14ac:dyDescent="0.2">
      <c r="A797" s="2" t="s">
        <v>84</v>
      </c>
      <c r="B797" s="4">
        <v>183</v>
      </c>
      <c r="C797" s="5">
        <v>10.96</v>
      </c>
      <c r="D797" s="4">
        <v>153</v>
      </c>
      <c r="E797" s="5">
        <v>20.18</v>
      </c>
      <c r="F797" s="4">
        <v>29</v>
      </c>
      <c r="G797" s="5">
        <v>3.2</v>
      </c>
      <c r="H797" s="4">
        <v>0</v>
      </c>
    </row>
    <row r="798" spans="1:8" x14ac:dyDescent="0.2">
      <c r="A798" s="2" t="s">
        <v>85</v>
      </c>
      <c r="B798" s="4">
        <v>252</v>
      </c>
      <c r="C798" s="5">
        <v>15.09</v>
      </c>
      <c r="D798" s="4">
        <v>174</v>
      </c>
      <c r="E798" s="5">
        <v>22.96</v>
      </c>
      <c r="F798" s="4">
        <v>78</v>
      </c>
      <c r="G798" s="5">
        <v>8.6</v>
      </c>
      <c r="H798" s="4">
        <v>0</v>
      </c>
    </row>
    <row r="799" spans="1:8" x14ac:dyDescent="0.2">
      <c r="A799" s="2" t="s">
        <v>86</v>
      </c>
      <c r="B799" s="4">
        <v>85</v>
      </c>
      <c r="C799" s="5">
        <v>5.09</v>
      </c>
      <c r="D799" s="4">
        <v>67</v>
      </c>
      <c r="E799" s="5">
        <v>8.84</v>
      </c>
      <c r="F799" s="4">
        <v>18</v>
      </c>
      <c r="G799" s="5">
        <v>1.98</v>
      </c>
      <c r="H799" s="4">
        <v>0</v>
      </c>
    </row>
    <row r="800" spans="1:8" x14ac:dyDescent="0.2">
      <c r="A800" s="2" t="s">
        <v>87</v>
      </c>
      <c r="B800" s="4">
        <v>82</v>
      </c>
      <c r="C800" s="5">
        <v>4.91</v>
      </c>
      <c r="D800" s="4">
        <v>48</v>
      </c>
      <c r="E800" s="5">
        <v>6.33</v>
      </c>
      <c r="F800" s="4">
        <v>31</v>
      </c>
      <c r="G800" s="5">
        <v>3.42</v>
      </c>
      <c r="H800" s="4">
        <v>0</v>
      </c>
    </row>
    <row r="801" spans="1:8" x14ac:dyDescent="0.2">
      <c r="A801" s="2" t="s">
        <v>88</v>
      </c>
      <c r="B801" s="4">
        <v>43</v>
      </c>
      <c r="C801" s="5">
        <v>2.57</v>
      </c>
      <c r="D801" s="4">
        <v>11</v>
      </c>
      <c r="E801" s="5">
        <v>1.45</v>
      </c>
      <c r="F801" s="4">
        <v>31</v>
      </c>
      <c r="G801" s="5">
        <v>3.42</v>
      </c>
      <c r="H801" s="4">
        <v>0</v>
      </c>
    </row>
    <row r="802" spans="1:8" x14ac:dyDescent="0.2">
      <c r="A802" s="1" t="s">
        <v>50</v>
      </c>
      <c r="B802" s="4">
        <v>826</v>
      </c>
      <c r="C802" s="5">
        <v>99.98</v>
      </c>
      <c r="D802" s="4">
        <v>419</v>
      </c>
      <c r="E802" s="5">
        <v>100.00999999999999</v>
      </c>
      <c r="F802" s="4">
        <v>403</v>
      </c>
      <c r="G802" s="5">
        <v>100.00999999999999</v>
      </c>
      <c r="H802" s="4">
        <v>1</v>
      </c>
    </row>
    <row r="803" spans="1:8" x14ac:dyDescent="0.2">
      <c r="A803" s="2" t="s">
        <v>74</v>
      </c>
      <c r="B803" s="4">
        <v>0</v>
      </c>
      <c r="C803" s="5">
        <v>0</v>
      </c>
      <c r="D803" s="4">
        <v>0</v>
      </c>
      <c r="E803" s="5">
        <v>0</v>
      </c>
      <c r="F803" s="4">
        <v>0</v>
      </c>
      <c r="G803" s="5">
        <v>0</v>
      </c>
      <c r="H803" s="4">
        <v>0</v>
      </c>
    </row>
    <row r="804" spans="1:8" x14ac:dyDescent="0.2">
      <c r="A804" s="2" t="s">
        <v>75</v>
      </c>
      <c r="B804" s="4">
        <v>120</v>
      </c>
      <c r="C804" s="5">
        <v>14.53</v>
      </c>
      <c r="D804" s="4">
        <v>39</v>
      </c>
      <c r="E804" s="5">
        <v>9.31</v>
      </c>
      <c r="F804" s="4">
        <v>81</v>
      </c>
      <c r="G804" s="5">
        <v>20.100000000000001</v>
      </c>
      <c r="H804" s="4">
        <v>0</v>
      </c>
    </row>
    <row r="805" spans="1:8" x14ac:dyDescent="0.2">
      <c r="A805" s="2" t="s">
        <v>76</v>
      </c>
      <c r="B805" s="4">
        <v>72</v>
      </c>
      <c r="C805" s="5">
        <v>8.7200000000000006</v>
      </c>
      <c r="D805" s="4">
        <v>24</v>
      </c>
      <c r="E805" s="5">
        <v>5.73</v>
      </c>
      <c r="F805" s="4">
        <v>48</v>
      </c>
      <c r="G805" s="5">
        <v>11.91</v>
      </c>
      <c r="H805" s="4">
        <v>0</v>
      </c>
    </row>
    <row r="806" spans="1:8" x14ac:dyDescent="0.2">
      <c r="A806" s="2" t="s">
        <v>77</v>
      </c>
      <c r="B806" s="4">
        <v>3</v>
      </c>
      <c r="C806" s="5">
        <v>0.36</v>
      </c>
      <c r="D806" s="4">
        <v>0</v>
      </c>
      <c r="E806" s="5">
        <v>0</v>
      </c>
      <c r="F806" s="4">
        <v>2</v>
      </c>
      <c r="G806" s="5">
        <v>0.5</v>
      </c>
      <c r="H806" s="4">
        <v>0</v>
      </c>
    </row>
    <row r="807" spans="1:8" x14ac:dyDescent="0.2">
      <c r="A807" s="2" t="s">
        <v>78</v>
      </c>
      <c r="B807" s="4">
        <v>2</v>
      </c>
      <c r="C807" s="5">
        <v>0.24</v>
      </c>
      <c r="D807" s="4">
        <v>0</v>
      </c>
      <c r="E807" s="5">
        <v>0</v>
      </c>
      <c r="F807" s="4">
        <v>2</v>
      </c>
      <c r="G807" s="5">
        <v>0.5</v>
      </c>
      <c r="H807" s="4">
        <v>0</v>
      </c>
    </row>
    <row r="808" spans="1:8" x14ac:dyDescent="0.2">
      <c r="A808" s="2" t="s">
        <v>79</v>
      </c>
      <c r="B808" s="4">
        <v>11</v>
      </c>
      <c r="C808" s="5">
        <v>1.33</v>
      </c>
      <c r="D808" s="4">
        <v>1</v>
      </c>
      <c r="E808" s="5">
        <v>0.24</v>
      </c>
      <c r="F808" s="4">
        <v>10</v>
      </c>
      <c r="G808" s="5">
        <v>2.48</v>
      </c>
      <c r="H808" s="4">
        <v>0</v>
      </c>
    </row>
    <row r="809" spans="1:8" x14ac:dyDescent="0.2">
      <c r="A809" s="2" t="s">
        <v>80</v>
      </c>
      <c r="B809" s="4">
        <v>167</v>
      </c>
      <c r="C809" s="5">
        <v>20.22</v>
      </c>
      <c r="D809" s="4">
        <v>76</v>
      </c>
      <c r="E809" s="5">
        <v>18.14</v>
      </c>
      <c r="F809" s="4">
        <v>91</v>
      </c>
      <c r="G809" s="5">
        <v>22.58</v>
      </c>
      <c r="H809" s="4">
        <v>0</v>
      </c>
    </row>
    <row r="810" spans="1:8" x14ac:dyDescent="0.2">
      <c r="A810" s="2" t="s">
        <v>81</v>
      </c>
      <c r="B810" s="4">
        <v>3</v>
      </c>
      <c r="C810" s="5">
        <v>0.36</v>
      </c>
      <c r="D810" s="4">
        <v>0</v>
      </c>
      <c r="E810" s="5">
        <v>0</v>
      </c>
      <c r="F810" s="4">
        <v>3</v>
      </c>
      <c r="G810" s="5">
        <v>0.74</v>
      </c>
      <c r="H810" s="4">
        <v>0</v>
      </c>
    </row>
    <row r="811" spans="1:8" x14ac:dyDescent="0.2">
      <c r="A811" s="2" t="s">
        <v>82</v>
      </c>
      <c r="B811" s="4">
        <v>98</v>
      </c>
      <c r="C811" s="5">
        <v>11.86</v>
      </c>
      <c r="D811" s="4">
        <v>50</v>
      </c>
      <c r="E811" s="5">
        <v>11.93</v>
      </c>
      <c r="F811" s="4">
        <v>48</v>
      </c>
      <c r="G811" s="5">
        <v>11.91</v>
      </c>
      <c r="H811" s="4">
        <v>0</v>
      </c>
    </row>
    <row r="812" spans="1:8" x14ac:dyDescent="0.2">
      <c r="A812" s="2" t="s">
        <v>83</v>
      </c>
      <c r="B812" s="4">
        <v>47</v>
      </c>
      <c r="C812" s="5">
        <v>5.69</v>
      </c>
      <c r="D812" s="4">
        <v>18</v>
      </c>
      <c r="E812" s="5">
        <v>4.3</v>
      </c>
      <c r="F812" s="4">
        <v>29</v>
      </c>
      <c r="G812" s="5">
        <v>7.2</v>
      </c>
      <c r="H812" s="4">
        <v>0</v>
      </c>
    </row>
    <row r="813" spans="1:8" x14ac:dyDescent="0.2">
      <c r="A813" s="2" t="s">
        <v>84</v>
      </c>
      <c r="B813" s="4">
        <v>61</v>
      </c>
      <c r="C813" s="5">
        <v>7.38</v>
      </c>
      <c r="D813" s="4">
        <v>43</v>
      </c>
      <c r="E813" s="5">
        <v>10.26</v>
      </c>
      <c r="F813" s="4">
        <v>18</v>
      </c>
      <c r="G813" s="5">
        <v>4.47</v>
      </c>
      <c r="H813" s="4">
        <v>0</v>
      </c>
    </row>
    <row r="814" spans="1:8" x14ac:dyDescent="0.2">
      <c r="A814" s="2" t="s">
        <v>85</v>
      </c>
      <c r="B814" s="4">
        <v>129</v>
      </c>
      <c r="C814" s="5">
        <v>15.62</v>
      </c>
      <c r="D814" s="4">
        <v>105</v>
      </c>
      <c r="E814" s="5">
        <v>25.06</v>
      </c>
      <c r="F814" s="4">
        <v>23</v>
      </c>
      <c r="G814" s="5">
        <v>5.71</v>
      </c>
      <c r="H814" s="4">
        <v>1</v>
      </c>
    </row>
    <row r="815" spans="1:8" x14ac:dyDescent="0.2">
      <c r="A815" s="2" t="s">
        <v>86</v>
      </c>
      <c r="B815" s="4">
        <v>42</v>
      </c>
      <c r="C815" s="5">
        <v>5.08</v>
      </c>
      <c r="D815" s="4">
        <v>29</v>
      </c>
      <c r="E815" s="5">
        <v>6.92</v>
      </c>
      <c r="F815" s="4">
        <v>12</v>
      </c>
      <c r="G815" s="5">
        <v>2.98</v>
      </c>
      <c r="H815" s="4">
        <v>0</v>
      </c>
    </row>
    <row r="816" spans="1:8" x14ac:dyDescent="0.2">
      <c r="A816" s="2" t="s">
        <v>87</v>
      </c>
      <c r="B816" s="4">
        <v>40</v>
      </c>
      <c r="C816" s="5">
        <v>4.84</v>
      </c>
      <c r="D816" s="4">
        <v>23</v>
      </c>
      <c r="E816" s="5">
        <v>5.49</v>
      </c>
      <c r="F816" s="4">
        <v>16</v>
      </c>
      <c r="G816" s="5">
        <v>3.97</v>
      </c>
      <c r="H816" s="4">
        <v>0</v>
      </c>
    </row>
    <row r="817" spans="1:8" x14ac:dyDescent="0.2">
      <c r="A817" s="2" t="s">
        <v>88</v>
      </c>
      <c r="B817" s="4">
        <v>31</v>
      </c>
      <c r="C817" s="5">
        <v>3.75</v>
      </c>
      <c r="D817" s="4">
        <v>11</v>
      </c>
      <c r="E817" s="5">
        <v>2.63</v>
      </c>
      <c r="F817" s="4">
        <v>20</v>
      </c>
      <c r="G817" s="5">
        <v>4.96</v>
      </c>
      <c r="H817" s="4">
        <v>0</v>
      </c>
    </row>
    <row r="818" spans="1:8" x14ac:dyDescent="0.2">
      <c r="A818" s="1" t="s">
        <v>51</v>
      </c>
      <c r="B818" s="4">
        <v>730</v>
      </c>
      <c r="C818" s="5">
        <v>100</v>
      </c>
      <c r="D818" s="4">
        <v>300</v>
      </c>
      <c r="E818" s="5">
        <v>100.01</v>
      </c>
      <c r="F818" s="4">
        <v>416</v>
      </c>
      <c r="G818" s="5">
        <v>99.990000000000009</v>
      </c>
      <c r="H818" s="4">
        <v>0</v>
      </c>
    </row>
    <row r="819" spans="1:8" x14ac:dyDescent="0.2">
      <c r="A819" s="2" t="s">
        <v>74</v>
      </c>
      <c r="B819" s="4">
        <v>0</v>
      </c>
      <c r="C819" s="5">
        <v>0</v>
      </c>
      <c r="D819" s="4">
        <v>0</v>
      </c>
      <c r="E819" s="5">
        <v>0</v>
      </c>
      <c r="F819" s="4">
        <v>0</v>
      </c>
      <c r="G819" s="5">
        <v>0</v>
      </c>
      <c r="H819" s="4">
        <v>0</v>
      </c>
    </row>
    <row r="820" spans="1:8" x14ac:dyDescent="0.2">
      <c r="A820" s="2" t="s">
        <v>75</v>
      </c>
      <c r="B820" s="4">
        <v>147</v>
      </c>
      <c r="C820" s="5">
        <v>20.14</v>
      </c>
      <c r="D820" s="4">
        <v>35</v>
      </c>
      <c r="E820" s="5">
        <v>11.67</v>
      </c>
      <c r="F820" s="4">
        <v>112</v>
      </c>
      <c r="G820" s="5">
        <v>26.92</v>
      </c>
      <c r="H820" s="4">
        <v>0</v>
      </c>
    </row>
    <row r="821" spans="1:8" x14ac:dyDescent="0.2">
      <c r="A821" s="2" t="s">
        <v>76</v>
      </c>
      <c r="B821" s="4">
        <v>109</v>
      </c>
      <c r="C821" s="5">
        <v>14.93</v>
      </c>
      <c r="D821" s="4">
        <v>23</v>
      </c>
      <c r="E821" s="5">
        <v>7.67</v>
      </c>
      <c r="F821" s="4">
        <v>86</v>
      </c>
      <c r="G821" s="5">
        <v>20.67</v>
      </c>
      <c r="H821" s="4">
        <v>0</v>
      </c>
    </row>
    <row r="822" spans="1:8" x14ac:dyDescent="0.2">
      <c r="A822" s="2" t="s">
        <v>77</v>
      </c>
      <c r="B822" s="4">
        <v>1</v>
      </c>
      <c r="C822" s="5">
        <v>0.14000000000000001</v>
      </c>
      <c r="D822" s="4">
        <v>0</v>
      </c>
      <c r="E822" s="5">
        <v>0</v>
      </c>
      <c r="F822" s="4">
        <v>1</v>
      </c>
      <c r="G822" s="5">
        <v>0.24</v>
      </c>
      <c r="H822" s="4">
        <v>0</v>
      </c>
    </row>
    <row r="823" spans="1:8" x14ac:dyDescent="0.2">
      <c r="A823" s="2" t="s">
        <v>78</v>
      </c>
      <c r="B823" s="4">
        <v>6</v>
      </c>
      <c r="C823" s="5">
        <v>0.82</v>
      </c>
      <c r="D823" s="4">
        <v>1</v>
      </c>
      <c r="E823" s="5">
        <v>0.33</v>
      </c>
      <c r="F823" s="4">
        <v>5</v>
      </c>
      <c r="G823" s="5">
        <v>1.2</v>
      </c>
      <c r="H823" s="4">
        <v>0</v>
      </c>
    </row>
    <row r="824" spans="1:8" x14ac:dyDescent="0.2">
      <c r="A824" s="2" t="s">
        <v>79</v>
      </c>
      <c r="B824" s="4">
        <v>9</v>
      </c>
      <c r="C824" s="5">
        <v>1.23</v>
      </c>
      <c r="D824" s="4">
        <v>2</v>
      </c>
      <c r="E824" s="5">
        <v>0.67</v>
      </c>
      <c r="F824" s="4">
        <v>7</v>
      </c>
      <c r="G824" s="5">
        <v>1.68</v>
      </c>
      <c r="H824" s="4">
        <v>0</v>
      </c>
    </row>
    <row r="825" spans="1:8" x14ac:dyDescent="0.2">
      <c r="A825" s="2" t="s">
        <v>80</v>
      </c>
      <c r="B825" s="4">
        <v>139</v>
      </c>
      <c r="C825" s="5">
        <v>19.04</v>
      </c>
      <c r="D825" s="4">
        <v>52</v>
      </c>
      <c r="E825" s="5">
        <v>17.329999999999998</v>
      </c>
      <c r="F825" s="4">
        <v>87</v>
      </c>
      <c r="G825" s="5">
        <v>20.91</v>
      </c>
      <c r="H825" s="4">
        <v>0</v>
      </c>
    </row>
    <row r="826" spans="1:8" x14ac:dyDescent="0.2">
      <c r="A826" s="2" t="s">
        <v>81</v>
      </c>
      <c r="B826" s="4">
        <v>4</v>
      </c>
      <c r="C826" s="5">
        <v>0.55000000000000004</v>
      </c>
      <c r="D826" s="4">
        <v>0</v>
      </c>
      <c r="E826" s="5">
        <v>0</v>
      </c>
      <c r="F826" s="4">
        <v>4</v>
      </c>
      <c r="G826" s="5">
        <v>0.96</v>
      </c>
      <c r="H826" s="4">
        <v>0</v>
      </c>
    </row>
    <row r="827" spans="1:8" x14ac:dyDescent="0.2">
      <c r="A827" s="2" t="s">
        <v>82</v>
      </c>
      <c r="B827" s="4">
        <v>47</v>
      </c>
      <c r="C827" s="5">
        <v>6.44</v>
      </c>
      <c r="D827" s="4">
        <v>7</v>
      </c>
      <c r="E827" s="5">
        <v>2.33</v>
      </c>
      <c r="F827" s="4">
        <v>40</v>
      </c>
      <c r="G827" s="5">
        <v>9.6199999999999992</v>
      </c>
      <c r="H827" s="4">
        <v>0</v>
      </c>
    </row>
    <row r="828" spans="1:8" x14ac:dyDescent="0.2">
      <c r="A828" s="2" t="s">
        <v>83</v>
      </c>
      <c r="B828" s="4">
        <v>23</v>
      </c>
      <c r="C828" s="5">
        <v>3.15</v>
      </c>
      <c r="D828" s="4">
        <v>9</v>
      </c>
      <c r="E828" s="5">
        <v>3</v>
      </c>
      <c r="F828" s="4">
        <v>14</v>
      </c>
      <c r="G828" s="5">
        <v>3.37</v>
      </c>
      <c r="H828" s="4">
        <v>0</v>
      </c>
    </row>
    <row r="829" spans="1:8" x14ac:dyDescent="0.2">
      <c r="A829" s="2" t="s">
        <v>84</v>
      </c>
      <c r="B829" s="4">
        <v>53</v>
      </c>
      <c r="C829" s="5">
        <v>7.26</v>
      </c>
      <c r="D829" s="4">
        <v>44</v>
      </c>
      <c r="E829" s="5">
        <v>14.67</v>
      </c>
      <c r="F829" s="4">
        <v>9</v>
      </c>
      <c r="G829" s="5">
        <v>2.16</v>
      </c>
      <c r="H829" s="4">
        <v>0</v>
      </c>
    </row>
    <row r="830" spans="1:8" x14ac:dyDescent="0.2">
      <c r="A830" s="2" t="s">
        <v>85</v>
      </c>
      <c r="B830" s="4">
        <v>76</v>
      </c>
      <c r="C830" s="5">
        <v>10.41</v>
      </c>
      <c r="D830" s="4">
        <v>62</v>
      </c>
      <c r="E830" s="5">
        <v>20.67</v>
      </c>
      <c r="F830" s="4">
        <v>14</v>
      </c>
      <c r="G830" s="5">
        <v>3.37</v>
      </c>
      <c r="H830" s="4">
        <v>0</v>
      </c>
    </row>
    <row r="831" spans="1:8" x14ac:dyDescent="0.2">
      <c r="A831" s="2" t="s">
        <v>86</v>
      </c>
      <c r="B831" s="4">
        <v>42</v>
      </c>
      <c r="C831" s="5">
        <v>5.75</v>
      </c>
      <c r="D831" s="4">
        <v>32</v>
      </c>
      <c r="E831" s="5">
        <v>10.67</v>
      </c>
      <c r="F831" s="4">
        <v>9</v>
      </c>
      <c r="G831" s="5">
        <v>2.16</v>
      </c>
      <c r="H831" s="4">
        <v>0</v>
      </c>
    </row>
    <row r="832" spans="1:8" x14ac:dyDescent="0.2">
      <c r="A832" s="2" t="s">
        <v>87</v>
      </c>
      <c r="B832" s="4">
        <v>43</v>
      </c>
      <c r="C832" s="5">
        <v>5.89</v>
      </c>
      <c r="D832" s="4">
        <v>25</v>
      </c>
      <c r="E832" s="5">
        <v>8.33</v>
      </c>
      <c r="F832" s="4">
        <v>5</v>
      </c>
      <c r="G832" s="5">
        <v>1.2</v>
      </c>
      <c r="H832" s="4">
        <v>0</v>
      </c>
    </row>
    <row r="833" spans="1:8" x14ac:dyDescent="0.2">
      <c r="A833" s="2" t="s">
        <v>88</v>
      </c>
      <c r="B833" s="4">
        <v>31</v>
      </c>
      <c r="C833" s="5">
        <v>4.25</v>
      </c>
      <c r="D833" s="4">
        <v>8</v>
      </c>
      <c r="E833" s="5">
        <v>2.67</v>
      </c>
      <c r="F833" s="4">
        <v>23</v>
      </c>
      <c r="G833" s="5">
        <v>5.53</v>
      </c>
      <c r="H833" s="4">
        <v>0</v>
      </c>
    </row>
    <row r="834" spans="1:8" x14ac:dyDescent="0.2">
      <c r="A834" s="1" t="s">
        <v>52</v>
      </c>
      <c r="B834" s="4">
        <v>793</v>
      </c>
      <c r="C834" s="5">
        <v>100.02000000000002</v>
      </c>
      <c r="D834" s="4">
        <v>176</v>
      </c>
      <c r="E834" s="5">
        <v>100.00999999999999</v>
      </c>
      <c r="F834" s="4">
        <v>608</v>
      </c>
      <c r="G834" s="5">
        <v>99.999999999999986</v>
      </c>
      <c r="H834" s="4">
        <v>1</v>
      </c>
    </row>
    <row r="835" spans="1:8" x14ac:dyDescent="0.2">
      <c r="A835" s="2" t="s">
        <v>74</v>
      </c>
      <c r="B835" s="4">
        <v>0</v>
      </c>
      <c r="C835" s="5">
        <v>0</v>
      </c>
      <c r="D835" s="4">
        <v>0</v>
      </c>
      <c r="E835" s="5">
        <v>0</v>
      </c>
      <c r="F835" s="4">
        <v>0</v>
      </c>
      <c r="G835" s="5">
        <v>0</v>
      </c>
      <c r="H835" s="4">
        <v>0</v>
      </c>
    </row>
    <row r="836" spans="1:8" x14ac:dyDescent="0.2">
      <c r="A836" s="2" t="s">
        <v>75</v>
      </c>
      <c r="B836" s="4">
        <v>151</v>
      </c>
      <c r="C836" s="5">
        <v>19.04</v>
      </c>
      <c r="D836" s="4">
        <v>19</v>
      </c>
      <c r="E836" s="5">
        <v>10.8</v>
      </c>
      <c r="F836" s="4">
        <v>132</v>
      </c>
      <c r="G836" s="5">
        <v>21.71</v>
      </c>
      <c r="H836" s="4">
        <v>0</v>
      </c>
    </row>
    <row r="837" spans="1:8" x14ac:dyDescent="0.2">
      <c r="A837" s="2" t="s">
        <v>76</v>
      </c>
      <c r="B837" s="4">
        <v>182</v>
      </c>
      <c r="C837" s="5">
        <v>22.95</v>
      </c>
      <c r="D837" s="4">
        <v>31</v>
      </c>
      <c r="E837" s="5">
        <v>17.61</v>
      </c>
      <c r="F837" s="4">
        <v>151</v>
      </c>
      <c r="G837" s="5">
        <v>24.84</v>
      </c>
      <c r="H837" s="4">
        <v>0</v>
      </c>
    </row>
    <row r="838" spans="1:8" x14ac:dyDescent="0.2">
      <c r="A838" s="2" t="s">
        <v>77</v>
      </c>
      <c r="B838" s="4">
        <v>1</v>
      </c>
      <c r="C838" s="5">
        <v>0.13</v>
      </c>
      <c r="D838" s="4">
        <v>0</v>
      </c>
      <c r="E838" s="5">
        <v>0</v>
      </c>
      <c r="F838" s="4">
        <v>1</v>
      </c>
      <c r="G838" s="5">
        <v>0.16</v>
      </c>
      <c r="H838" s="4">
        <v>0</v>
      </c>
    </row>
    <row r="839" spans="1:8" x14ac:dyDescent="0.2">
      <c r="A839" s="2" t="s">
        <v>78</v>
      </c>
      <c r="B839" s="4">
        <v>7</v>
      </c>
      <c r="C839" s="5">
        <v>0.88</v>
      </c>
      <c r="D839" s="4">
        <v>0</v>
      </c>
      <c r="E839" s="5">
        <v>0</v>
      </c>
      <c r="F839" s="4">
        <v>7</v>
      </c>
      <c r="G839" s="5">
        <v>1.1499999999999999</v>
      </c>
      <c r="H839" s="4">
        <v>0</v>
      </c>
    </row>
    <row r="840" spans="1:8" x14ac:dyDescent="0.2">
      <c r="A840" s="2" t="s">
        <v>79</v>
      </c>
      <c r="B840" s="4">
        <v>21</v>
      </c>
      <c r="C840" s="5">
        <v>2.65</v>
      </c>
      <c r="D840" s="4">
        <v>0</v>
      </c>
      <c r="E840" s="5">
        <v>0</v>
      </c>
      <c r="F840" s="4">
        <v>21</v>
      </c>
      <c r="G840" s="5">
        <v>3.45</v>
      </c>
      <c r="H840" s="4">
        <v>0</v>
      </c>
    </row>
    <row r="841" spans="1:8" x14ac:dyDescent="0.2">
      <c r="A841" s="2" t="s">
        <v>80</v>
      </c>
      <c r="B841" s="4">
        <v>118</v>
      </c>
      <c r="C841" s="5">
        <v>14.88</v>
      </c>
      <c r="D841" s="4">
        <v>27</v>
      </c>
      <c r="E841" s="5">
        <v>15.34</v>
      </c>
      <c r="F841" s="4">
        <v>91</v>
      </c>
      <c r="G841" s="5">
        <v>14.97</v>
      </c>
      <c r="H841" s="4">
        <v>0</v>
      </c>
    </row>
    <row r="842" spans="1:8" x14ac:dyDescent="0.2">
      <c r="A842" s="2" t="s">
        <v>81</v>
      </c>
      <c r="B842" s="4">
        <v>3</v>
      </c>
      <c r="C842" s="5">
        <v>0.38</v>
      </c>
      <c r="D842" s="4">
        <v>0</v>
      </c>
      <c r="E842" s="5">
        <v>0</v>
      </c>
      <c r="F842" s="4">
        <v>3</v>
      </c>
      <c r="G842" s="5">
        <v>0.49</v>
      </c>
      <c r="H842" s="4">
        <v>0</v>
      </c>
    </row>
    <row r="843" spans="1:8" x14ac:dyDescent="0.2">
      <c r="A843" s="2" t="s">
        <v>82</v>
      </c>
      <c r="B843" s="4">
        <v>127</v>
      </c>
      <c r="C843" s="5">
        <v>16.02</v>
      </c>
      <c r="D843" s="4">
        <v>6</v>
      </c>
      <c r="E843" s="5">
        <v>3.41</v>
      </c>
      <c r="F843" s="4">
        <v>120</v>
      </c>
      <c r="G843" s="5">
        <v>19.739999999999998</v>
      </c>
      <c r="H843" s="4">
        <v>1</v>
      </c>
    </row>
    <row r="844" spans="1:8" x14ac:dyDescent="0.2">
      <c r="A844" s="2" t="s">
        <v>83</v>
      </c>
      <c r="B844" s="4">
        <v>19</v>
      </c>
      <c r="C844" s="5">
        <v>2.4</v>
      </c>
      <c r="D844" s="4">
        <v>8</v>
      </c>
      <c r="E844" s="5">
        <v>4.55</v>
      </c>
      <c r="F844" s="4">
        <v>11</v>
      </c>
      <c r="G844" s="5">
        <v>1.81</v>
      </c>
      <c r="H844" s="4">
        <v>0</v>
      </c>
    </row>
    <row r="845" spans="1:8" x14ac:dyDescent="0.2">
      <c r="A845" s="2" t="s">
        <v>84</v>
      </c>
      <c r="B845" s="4">
        <v>34</v>
      </c>
      <c r="C845" s="5">
        <v>4.29</v>
      </c>
      <c r="D845" s="4">
        <v>22</v>
      </c>
      <c r="E845" s="5">
        <v>12.5</v>
      </c>
      <c r="F845" s="4">
        <v>12</v>
      </c>
      <c r="G845" s="5">
        <v>1.97</v>
      </c>
      <c r="H845" s="4">
        <v>0</v>
      </c>
    </row>
    <row r="846" spans="1:8" x14ac:dyDescent="0.2">
      <c r="A846" s="2" t="s">
        <v>85</v>
      </c>
      <c r="B846" s="4">
        <v>50</v>
      </c>
      <c r="C846" s="5">
        <v>6.31</v>
      </c>
      <c r="D846" s="4">
        <v>35</v>
      </c>
      <c r="E846" s="5">
        <v>19.89</v>
      </c>
      <c r="F846" s="4">
        <v>15</v>
      </c>
      <c r="G846" s="5">
        <v>2.4700000000000002</v>
      </c>
      <c r="H846" s="4">
        <v>0</v>
      </c>
    </row>
    <row r="847" spans="1:8" x14ac:dyDescent="0.2">
      <c r="A847" s="2" t="s">
        <v>86</v>
      </c>
      <c r="B847" s="4">
        <v>19</v>
      </c>
      <c r="C847" s="5">
        <v>2.4</v>
      </c>
      <c r="D847" s="4">
        <v>10</v>
      </c>
      <c r="E847" s="5">
        <v>5.68</v>
      </c>
      <c r="F847" s="4">
        <v>6</v>
      </c>
      <c r="G847" s="5">
        <v>0.99</v>
      </c>
      <c r="H847" s="4">
        <v>0</v>
      </c>
    </row>
    <row r="848" spans="1:8" x14ac:dyDescent="0.2">
      <c r="A848" s="2" t="s">
        <v>87</v>
      </c>
      <c r="B848" s="4">
        <v>26</v>
      </c>
      <c r="C848" s="5">
        <v>3.28</v>
      </c>
      <c r="D848" s="4">
        <v>12</v>
      </c>
      <c r="E848" s="5">
        <v>6.82</v>
      </c>
      <c r="F848" s="4">
        <v>9</v>
      </c>
      <c r="G848" s="5">
        <v>1.48</v>
      </c>
      <c r="H848" s="4">
        <v>0</v>
      </c>
    </row>
    <row r="849" spans="1:8" x14ac:dyDescent="0.2">
      <c r="A849" s="2" t="s">
        <v>88</v>
      </c>
      <c r="B849" s="4">
        <v>35</v>
      </c>
      <c r="C849" s="5">
        <v>4.41</v>
      </c>
      <c r="D849" s="4">
        <v>6</v>
      </c>
      <c r="E849" s="5">
        <v>3.41</v>
      </c>
      <c r="F849" s="4">
        <v>29</v>
      </c>
      <c r="G849" s="5">
        <v>4.7699999999999996</v>
      </c>
      <c r="H849" s="4">
        <v>0</v>
      </c>
    </row>
    <row r="850" spans="1:8" x14ac:dyDescent="0.2">
      <c r="A850" s="1" t="s">
        <v>53</v>
      </c>
      <c r="B850" s="4">
        <v>679</v>
      </c>
      <c r="C850" s="5">
        <v>99.999999999999986</v>
      </c>
      <c r="D850" s="4">
        <v>376</v>
      </c>
      <c r="E850" s="5">
        <v>100.01000000000002</v>
      </c>
      <c r="F850" s="4">
        <v>300</v>
      </c>
      <c r="G850" s="5">
        <v>99.99</v>
      </c>
      <c r="H850" s="4">
        <v>1</v>
      </c>
    </row>
    <row r="851" spans="1:8" x14ac:dyDescent="0.2">
      <c r="A851" s="2" t="s">
        <v>74</v>
      </c>
      <c r="B851" s="4">
        <v>0</v>
      </c>
      <c r="C851" s="5">
        <v>0</v>
      </c>
      <c r="D851" s="4">
        <v>0</v>
      </c>
      <c r="E851" s="5">
        <v>0</v>
      </c>
      <c r="F851" s="4">
        <v>0</v>
      </c>
      <c r="G851" s="5">
        <v>0</v>
      </c>
      <c r="H851" s="4">
        <v>0</v>
      </c>
    </row>
    <row r="852" spans="1:8" x14ac:dyDescent="0.2">
      <c r="A852" s="2" t="s">
        <v>75</v>
      </c>
      <c r="B852" s="4">
        <v>111</v>
      </c>
      <c r="C852" s="5">
        <v>16.350000000000001</v>
      </c>
      <c r="D852" s="4">
        <v>34</v>
      </c>
      <c r="E852" s="5">
        <v>9.0399999999999991</v>
      </c>
      <c r="F852" s="4">
        <v>77</v>
      </c>
      <c r="G852" s="5">
        <v>25.67</v>
      </c>
      <c r="H852" s="4">
        <v>0</v>
      </c>
    </row>
    <row r="853" spans="1:8" x14ac:dyDescent="0.2">
      <c r="A853" s="2" t="s">
        <v>76</v>
      </c>
      <c r="B853" s="4">
        <v>58</v>
      </c>
      <c r="C853" s="5">
        <v>8.5399999999999991</v>
      </c>
      <c r="D853" s="4">
        <v>21</v>
      </c>
      <c r="E853" s="5">
        <v>5.59</v>
      </c>
      <c r="F853" s="4">
        <v>37</v>
      </c>
      <c r="G853" s="5">
        <v>12.33</v>
      </c>
      <c r="H853" s="4">
        <v>0</v>
      </c>
    </row>
    <row r="854" spans="1:8" x14ac:dyDescent="0.2">
      <c r="A854" s="2" t="s">
        <v>77</v>
      </c>
      <c r="B854" s="4">
        <v>1</v>
      </c>
      <c r="C854" s="5">
        <v>0.15</v>
      </c>
      <c r="D854" s="4">
        <v>0</v>
      </c>
      <c r="E854" s="5">
        <v>0</v>
      </c>
      <c r="F854" s="4">
        <v>1</v>
      </c>
      <c r="G854" s="5">
        <v>0.33</v>
      </c>
      <c r="H854" s="4">
        <v>0</v>
      </c>
    </row>
    <row r="855" spans="1:8" x14ac:dyDescent="0.2">
      <c r="A855" s="2" t="s">
        <v>78</v>
      </c>
      <c r="B855" s="4">
        <v>5</v>
      </c>
      <c r="C855" s="5">
        <v>0.74</v>
      </c>
      <c r="D855" s="4">
        <v>0</v>
      </c>
      <c r="E855" s="5">
        <v>0</v>
      </c>
      <c r="F855" s="4">
        <v>4</v>
      </c>
      <c r="G855" s="5">
        <v>1.33</v>
      </c>
      <c r="H855" s="4">
        <v>1</v>
      </c>
    </row>
    <row r="856" spans="1:8" x14ac:dyDescent="0.2">
      <c r="A856" s="2" t="s">
        <v>79</v>
      </c>
      <c r="B856" s="4">
        <v>8</v>
      </c>
      <c r="C856" s="5">
        <v>1.18</v>
      </c>
      <c r="D856" s="4">
        <v>4</v>
      </c>
      <c r="E856" s="5">
        <v>1.06</v>
      </c>
      <c r="F856" s="4">
        <v>4</v>
      </c>
      <c r="G856" s="5">
        <v>1.33</v>
      </c>
      <c r="H856" s="4">
        <v>0</v>
      </c>
    </row>
    <row r="857" spans="1:8" x14ac:dyDescent="0.2">
      <c r="A857" s="2" t="s">
        <v>80</v>
      </c>
      <c r="B857" s="4">
        <v>133</v>
      </c>
      <c r="C857" s="5">
        <v>19.59</v>
      </c>
      <c r="D857" s="4">
        <v>66</v>
      </c>
      <c r="E857" s="5">
        <v>17.55</v>
      </c>
      <c r="F857" s="4">
        <v>67</v>
      </c>
      <c r="G857" s="5">
        <v>22.33</v>
      </c>
      <c r="H857" s="4">
        <v>0</v>
      </c>
    </row>
    <row r="858" spans="1:8" x14ac:dyDescent="0.2">
      <c r="A858" s="2" t="s">
        <v>81</v>
      </c>
      <c r="B858" s="4">
        <v>5</v>
      </c>
      <c r="C858" s="5">
        <v>0.74</v>
      </c>
      <c r="D858" s="4">
        <v>2</v>
      </c>
      <c r="E858" s="5">
        <v>0.53</v>
      </c>
      <c r="F858" s="4">
        <v>3</v>
      </c>
      <c r="G858" s="5">
        <v>1</v>
      </c>
      <c r="H858" s="4">
        <v>0</v>
      </c>
    </row>
    <row r="859" spans="1:8" x14ac:dyDescent="0.2">
      <c r="A859" s="2" t="s">
        <v>82</v>
      </c>
      <c r="B859" s="4">
        <v>39</v>
      </c>
      <c r="C859" s="5">
        <v>5.74</v>
      </c>
      <c r="D859" s="4">
        <v>15</v>
      </c>
      <c r="E859" s="5">
        <v>3.99</v>
      </c>
      <c r="F859" s="4">
        <v>24</v>
      </c>
      <c r="G859" s="5">
        <v>8</v>
      </c>
      <c r="H859" s="4">
        <v>0</v>
      </c>
    </row>
    <row r="860" spans="1:8" x14ac:dyDescent="0.2">
      <c r="A860" s="2" t="s">
        <v>83</v>
      </c>
      <c r="B860" s="4">
        <v>24</v>
      </c>
      <c r="C860" s="5">
        <v>3.53</v>
      </c>
      <c r="D860" s="4">
        <v>10</v>
      </c>
      <c r="E860" s="5">
        <v>2.66</v>
      </c>
      <c r="F860" s="4">
        <v>14</v>
      </c>
      <c r="G860" s="5">
        <v>4.67</v>
      </c>
      <c r="H860" s="4">
        <v>0</v>
      </c>
    </row>
    <row r="861" spans="1:8" x14ac:dyDescent="0.2">
      <c r="A861" s="2" t="s">
        <v>84</v>
      </c>
      <c r="B861" s="4">
        <v>116</v>
      </c>
      <c r="C861" s="5">
        <v>17.079999999999998</v>
      </c>
      <c r="D861" s="4">
        <v>100</v>
      </c>
      <c r="E861" s="5">
        <v>26.6</v>
      </c>
      <c r="F861" s="4">
        <v>15</v>
      </c>
      <c r="G861" s="5">
        <v>5</v>
      </c>
      <c r="H861" s="4">
        <v>0</v>
      </c>
    </row>
    <row r="862" spans="1:8" x14ac:dyDescent="0.2">
      <c r="A862" s="2" t="s">
        <v>85</v>
      </c>
      <c r="B862" s="4">
        <v>98</v>
      </c>
      <c r="C862" s="5">
        <v>14.43</v>
      </c>
      <c r="D862" s="4">
        <v>77</v>
      </c>
      <c r="E862" s="5">
        <v>20.48</v>
      </c>
      <c r="F862" s="4">
        <v>21</v>
      </c>
      <c r="G862" s="5">
        <v>7</v>
      </c>
      <c r="H862" s="4">
        <v>0</v>
      </c>
    </row>
    <row r="863" spans="1:8" x14ac:dyDescent="0.2">
      <c r="A863" s="2" t="s">
        <v>86</v>
      </c>
      <c r="B863" s="4">
        <v>22</v>
      </c>
      <c r="C863" s="5">
        <v>3.24</v>
      </c>
      <c r="D863" s="4">
        <v>16</v>
      </c>
      <c r="E863" s="5">
        <v>4.26</v>
      </c>
      <c r="F863" s="4">
        <v>6</v>
      </c>
      <c r="G863" s="5">
        <v>2</v>
      </c>
      <c r="H863" s="4">
        <v>0</v>
      </c>
    </row>
    <row r="864" spans="1:8" x14ac:dyDescent="0.2">
      <c r="A864" s="2" t="s">
        <v>87</v>
      </c>
      <c r="B864" s="4">
        <v>36</v>
      </c>
      <c r="C864" s="5">
        <v>5.3</v>
      </c>
      <c r="D864" s="4">
        <v>20</v>
      </c>
      <c r="E864" s="5">
        <v>5.32</v>
      </c>
      <c r="F864" s="4">
        <v>15</v>
      </c>
      <c r="G864" s="5">
        <v>5</v>
      </c>
      <c r="H864" s="4">
        <v>0</v>
      </c>
    </row>
    <row r="865" spans="1:8" x14ac:dyDescent="0.2">
      <c r="A865" s="2" t="s">
        <v>88</v>
      </c>
      <c r="B865" s="4">
        <v>23</v>
      </c>
      <c r="C865" s="5">
        <v>3.39</v>
      </c>
      <c r="D865" s="4">
        <v>11</v>
      </c>
      <c r="E865" s="5">
        <v>2.93</v>
      </c>
      <c r="F865" s="4">
        <v>12</v>
      </c>
      <c r="G865" s="5">
        <v>4</v>
      </c>
      <c r="H865" s="4">
        <v>0</v>
      </c>
    </row>
    <row r="866" spans="1:8" x14ac:dyDescent="0.2">
      <c r="A866" s="1" t="s">
        <v>54</v>
      </c>
      <c r="B866" s="4">
        <v>302</v>
      </c>
      <c r="C866" s="5">
        <v>99.98</v>
      </c>
      <c r="D866" s="4">
        <v>174</v>
      </c>
      <c r="E866" s="5">
        <v>100</v>
      </c>
      <c r="F866" s="4">
        <v>125</v>
      </c>
      <c r="G866" s="5">
        <v>100.00000000000001</v>
      </c>
      <c r="H866" s="4">
        <v>0</v>
      </c>
    </row>
    <row r="867" spans="1:8" x14ac:dyDescent="0.2">
      <c r="A867" s="2" t="s">
        <v>74</v>
      </c>
      <c r="B867" s="4">
        <v>0</v>
      </c>
      <c r="C867" s="5">
        <v>0</v>
      </c>
      <c r="D867" s="4">
        <v>0</v>
      </c>
      <c r="E867" s="5">
        <v>0</v>
      </c>
      <c r="F867" s="4">
        <v>0</v>
      </c>
      <c r="G867" s="5">
        <v>0</v>
      </c>
      <c r="H867" s="4">
        <v>0</v>
      </c>
    </row>
    <row r="868" spans="1:8" x14ac:dyDescent="0.2">
      <c r="A868" s="2" t="s">
        <v>75</v>
      </c>
      <c r="B868" s="4">
        <v>62</v>
      </c>
      <c r="C868" s="5">
        <v>20.53</v>
      </c>
      <c r="D868" s="4">
        <v>27</v>
      </c>
      <c r="E868" s="5">
        <v>15.52</v>
      </c>
      <c r="F868" s="4">
        <v>35</v>
      </c>
      <c r="G868" s="5">
        <v>28</v>
      </c>
      <c r="H868" s="4">
        <v>0</v>
      </c>
    </row>
    <row r="869" spans="1:8" x14ac:dyDescent="0.2">
      <c r="A869" s="2" t="s">
        <v>76</v>
      </c>
      <c r="B869" s="4">
        <v>55</v>
      </c>
      <c r="C869" s="5">
        <v>18.21</v>
      </c>
      <c r="D869" s="4">
        <v>24</v>
      </c>
      <c r="E869" s="5">
        <v>13.79</v>
      </c>
      <c r="F869" s="4">
        <v>31</v>
      </c>
      <c r="G869" s="5">
        <v>24.8</v>
      </c>
      <c r="H869" s="4">
        <v>0</v>
      </c>
    </row>
    <row r="870" spans="1:8" x14ac:dyDescent="0.2">
      <c r="A870" s="2" t="s">
        <v>77</v>
      </c>
      <c r="B870" s="4">
        <v>0</v>
      </c>
      <c r="C870" s="5">
        <v>0</v>
      </c>
      <c r="D870" s="4">
        <v>0</v>
      </c>
      <c r="E870" s="5">
        <v>0</v>
      </c>
      <c r="F870" s="4">
        <v>0</v>
      </c>
      <c r="G870" s="5">
        <v>0</v>
      </c>
      <c r="H870" s="4">
        <v>0</v>
      </c>
    </row>
    <row r="871" spans="1:8" x14ac:dyDescent="0.2">
      <c r="A871" s="2" t="s">
        <v>78</v>
      </c>
      <c r="B871" s="4">
        <v>1</v>
      </c>
      <c r="C871" s="5">
        <v>0.33</v>
      </c>
      <c r="D871" s="4">
        <v>0</v>
      </c>
      <c r="E871" s="5">
        <v>0</v>
      </c>
      <c r="F871" s="4">
        <v>1</v>
      </c>
      <c r="G871" s="5">
        <v>0.8</v>
      </c>
      <c r="H871" s="4">
        <v>0</v>
      </c>
    </row>
    <row r="872" spans="1:8" x14ac:dyDescent="0.2">
      <c r="A872" s="2" t="s">
        <v>79</v>
      </c>
      <c r="B872" s="4">
        <v>4</v>
      </c>
      <c r="C872" s="5">
        <v>1.32</v>
      </c>
      <c r="D872" s="4">
        <v>0</v>
      </c>
      <c r="E872" s="5">
        <v>0</v>
      </c>
      <c r="F872" s="4">
        <v>4</v>
      </c>
      <c r="G872" s="5">
        <v>3.2</v>
      </c>
      <c r="H872" s="4">
        <v>0</v>
      </c>
    </row>
    <row r="873" spans="1:8" x14ac:dyDescent="0.2">
      <c r="A873" s="2" t="s">
        <v>80</v>
      </c>
      <c r="B873" s="4">
        <v>63</v>
      </c>
      <c r="C873" s="5">
        <v>20.86</v>
      </c>
      <c r="D873" s="4">
        <v>38</v>
      </c>
      <c r="E873" s="5">
        <v>21.84</v>
      </c>
      <c r="F873" s="4">
        <v>25</v>
      </c>
      <c r="G873" s="5">
        <v>20</v>
      </c>
      <c r="H873" s="4">
        <v>0</v>
      </c>
    </row>
    <row r="874" spans="1:8" x14ac:dyDescent="0.2">
      <c r="A874" s="2" t="s">
        <v>81</v>
      </c>
      <c r="B874" s="4">
        <v>1</v>
      </c>
      <c r="C874" s="5">
        <v>0.33</v>
      </c>
      <c r="D874" s="4">
        <v>1</v>
      </c>
      <c r="E874" s="5">
        <v>0.56999999999999995</v>
      </c>
      <c r="F874" s="4">
        <v>0</v>
      </c>
      <c r="G874" s="5">
        <v>0</v>
      </c>
      <c r="H874" s="4">
        <v>0</v>
      </c>
    </row>
    <row r="875" spans="1:8" x14ac:dyDescent="0.2">
      <c r="A875" s="2" t="s">
        <v>82</v>
      </c>
      <c r="B875" s="4">
        <v>11</v>
      </c>
      <c r="C875" s="5">
        <v>3.64</v>
      </c>
      <c r="D875" s="4">
        <v>2</v>
      </c>
      <c r="E875" s="5">
        <v>1.1499999999999999</v>
      </c>
      <c r="F875" s="4">
        <v>9</v>
      </c>
      <c r="G875" s="5">
        <v>7.2</v>
      </c>
      <c r="H875" s="4">
        <v>0</v>
      </c>
    </row>
    <row r="876" spans="1:8" x14ac:dyDescent="0.2">
      <c r="A876" s="2" t="s">
        <v>83</v>
      </c>
      <c r="B876" s="4">
        <v>9</v>
      </c>
      <c r="C876" s="5">
        <v>2.98</v>
      </c>
      <c r="D876" s="4">
        <v>6</v>
      </c>
      <c r="E876" s="5">
        <v>3.45</v>
      </c>
      <c r="F876" s="4">
        <v>3</v>
      </c>
      <c r="G876" s="5">
        <v>2.4</v>
      </c>
      <c r="H876" s="4">
        <v>0</v>
      </c>
    </row>
    <row r="877" spans="1:8" x14ac:dyDescent="0.2">
      <c r="A877" s="2" t="s">
        <v>84</v>
      </c>
      <c r="B877" s="4">
        <v>32</v>
      </c>
      <c r="C877" s="5">
        <v>10.6</v>
      </c>
      <c r="D877" s="4">
        <v>26</v>
      </c>
      <c r="E877" s="5">
        <v>14.94</v>
      </c>
      <c r="F877" s="4">
        <v>6</v>
      </c>
      <c r="G877" s="5">
        <v>4.8</v>
      </c>
      <c r="H877" s="4">
        <v>0</v>
      </c>
    </row>
    <row r="878" spans="1:8" x14ac:dyDescent="0.2">
      <c r="A878" s="2" t="s">
        <v>85</v>
      </c>
      <c r="B878" s="4">
        <v>20</v>
      </c>
      <c r="C878" s="5">
        <v>6.62</v>
      </c>
      <c r="D878" s="4">
        <v>16</v>
      </c>
      <c r="E878" s="5">
        <v>9.1999999999999993</v>
      </c>
      <c r="F878" s="4">
        <v>4</v>
      </c>
      <c r="G878" s="5">
        <v>3.2</v>
      </c>
      <c r="H878" s="4">
        <v>0</v>
      </c>
    </row>
    <row r="879" spans="1:8" x14ac:dyDescent="0.2">
      <c r="A879" s="2" t="s">
        <v>86</v>
      </c>
      <c r="B879" s="4">
        <v>20</v>
      </c>
      <c r="C879" s="5">
        <v>6.62</v>
      </c>
      <c r="D879" s="4">
        <v>19</v>
      </c>
      <c r="E879" s="5">
        <v>10.92</v>
      </c>
      <c r="F879" s="4">
        <v>0</v>
      </c>
      <c r="G879" s="5">
        <v>0</v>
      </c>
      <c r="H879" s="4">
        <v>0</v>
      </c>
    </row>
    <row r="880" spans="1:8" x14ac:dyDescent="0.2">
      <c r="A880" s="2" t="s">
        <v>87</v>
      </c>
      <c r="B880" s="4">
        <v>12</v>
      </c>
      <c r="C880" s="5">
        <v>3.97</v>
      </c>
      <c r="D880" s="4">
        <v>7</v>
      </c>
      <c r="E880" s="5">
        <v>4.0199999999999996</v>
      </c>
      <c r="F880" s="4">
        <v>3</v>
      </c>
      <c r="G880" s="5">
        <v>2.4</v>
      </c>
      <c r="H880" s="4">
        <v>0</v>
      </c>
    </row>
    <row r="881" spans="1:8" x14ac:dyDescent="0.2">
      <c r="A881" s="2" t="s">
        <v>88</v>
      </c>
      <c r="B881" s="4">
        <v>12</v>
      </c>
      <c r="C881" s="5">
        <v>3.97</v>
      </c>
      <c r="D881" s="4">
        <v>8</v>
      </c>
      <c r="E881" s="5">
        <v>4.5999999999999996</v>
      </c>
      <c r="F881" s="4">
        <v>4</v>
      </c>
      <c r="G881" s="5">
        <v>3.2</v>
      </c>
      <c r="H881" s="4">
        <v>0</v>
      </c>
    </row>
    <row r="882" spans="1:8" x14ac:dyDescent="0.2">
      <c r="A882" s="1" t="s">
        <v>55</v>
      </c>
      <c r="B882" s="4">
        <v>292</v>
      </c>
      <c r="C882" s="5">
        <v>99.99</v>
      </c>
      <c r="D882" s="4">
        <v>166</v>
      </c>
      <c r="E882" s="5">
        <v>100</v>
      </c>
      <c r="F882" s="4">
        <v>125</v>
      </c>
      <c r="G882" s="5">
        <v>99.999999999999972</v>
      </c>
      <c r="H882" s="4">
        <v>1</v>
      </c>
    </row>
    <row r="883" spans="1:8" x14ac:dyDescent="0.2">
      <c r="A883" s="2" t="s">
        <v>74</v>
      </c>
      <c r="B883" s="4">
        <v>0</v>
      </c>
      <c r="C883" s="5">
        <v>0</v>
      </c>
      <c r="D883" s="4">
        <v>0</v>
      </c>
      <c r="E883" s="5">
        <v>0</v>
      </c>
      <c r="F883" s="4">
        <v>0</v>
      </c>
      <c r="G883" s="5">
        <v>0</v>
      </c>
      <c r="H883" s="4">
        <v>0</v>
      </c>
    </row>
    <row r="884" spans="1:8" x14ac:dyDescent="0.2">
      <c r="A884" s="2" t="s">
        <v>75</v>
      </c>
      <c r="B884" s="4">
        <v>64</v>
      </c>
      <c r="C884" s="5">
        <v>21.92</v>
      </c>
      <c r="D884" s="4">
        <v>27</v>
      </c>
      <c r="E884" s="5">
        <v>16.27</v>
      </c>
      <c r="F884" s="4">
        <v>37</v>
      </c>
      <c r="G884" s="5">
        <v>29.6</v>
      </c>
      <c r="H884" s="4">
        <v>0</v>
      </c>
    </row>
    <row r="885" spans="1:8" x14ac:dyDescent="0.2">
      <c r="A885" s="2" t="s">
        <v>76</v>
      </c>
      <c r="B885" s="4">
        <v>22</v>
      </c>
      <c r="C885" s="5">
        <v>7.53</v>
      </c>
      <c r="D885" s="4">
        <v>9</v>
      </c>
      <c r="E885" s="5">
        <v>5.42</v>
      </c>
      <c r="F885" s="4">
        <v>13</v>
      </c>
      <c r="G885" s="5">
        <v>10.4</v>
      </c>
      <c r="H885" s="4">
        <v>0</v>
      </c>
    </row>
    <row r="886" spans="1:8" x14ac:dyDescent="0.2">
      <c r="A886" s="2" t="s">
        <v>77</v>
      </c>
      <c r="B886" s="4">
        <v>1</v>
      </c>
      <c r="C886" s="5">
        <v>0.34</v>
      </c>
      <c r="D886" s="4">
        <v>0</v>
      </c>
      <c r="E886" s="5">
        <v>0</v>
      </c>
      <c r="F886" s="4">
        <v>1</v>
      </c>
      <c r="G886" s="5">
        <v>0.8</v>
      </c>
      <c r="H886" s="4">
        <v>0</v>
      </c>
    </row>
    <row r="887" spans="1:8" x14ac:dyDescent="0.2">
      <c r="A887" s="2" t="s">
        <v>78</v>
      </c>
      <c r="B887" s="4">
        <v>3</v>
      </c>
      <c r="C887" s="5">
        <v>1.03</v>
      </c>
      <c r="D887" s="4">
        <v>0</v>
      </c>
      <c r="E887" s="5">
        <v>0</v>
      </c>
      <c r="F887" s="4">
        <v>3</v>
      </c>
      <c r="G887" s="5">
        <v>2.4</v>
      </c>
      <c r="H887" s="4">
        <v>0</v>
      </c>
    </row>
    <row r="888" spans="1:8" x14ac:dyDescent="0.2">
      <c r="A888" s="2" t="s">
        <v>79</v>
      </c>
      <c r="B888" s="4">
        <v>3</v>
      </c>
      <c r="C888" s="5">
        <v>1.03</v>
      </c>
      <c r="D888" s="4">
        <v>0</v>
      </c>
      <c r="E888" s="5">
        <v>0</v>
      </c>
      <c r="F888" s="4">
        <v>3</v>
      </c>
      <c r="G888" s="5">
        <v>2.4</v>
      </c>
      <c r="H888" s="4">
        <v>0</v>
      </c>
    </row>
    <row r="889" spans="1:8" x14ac:dyDescent="0.2">
      <c r="A889" s="2" t="s">
        <v>80</v>
      </c>
      <c r="B889" s="4">
        <v>50</v>
      </c>
      <c r="C889" s="5">
        <v>17.12</v>
      </c>
      <c r="D889" s="4">
        <v>29</v>
      </c>
      <c r="E889" s="5">
        <v>17.47</v>
      </c>
      <c r="F889" s="4">
        <v>21</v>
      </c>
      <c r="G889" s="5">
        <v>16.8</v>
      </c>
      <c r="H889" s="4">
        <v>0</v>
      </c>
    </row>
    <row r="890" spans="1:8" x14ac:dyDescent="0.2">
      <c r="A890" s="2" t="s">
        <v>81</v>
      </c>
      <c r="B890" s="4">
        <v>0</v>
      </c>
      <c r="C890" s="5">
        <v>0</v>
      </c>
      <c r="D890" s="4">
        <v>0</v>
      </c>
      <c r="E890" s="5">
        <v>0</v>
      </c>
      <c r="F890" s="4">
        <v>0</v>
      </c>
      <c r="G890" s="5">
        <v>0</v>
      </c>
      <c r="H890" s="4">
        <v>0</v>
      </c>
    </row>
    <row r="891" spans="1:8" x14ac:dyDescent="0.2">
      <c r="A891" s="2" t="s">
        <v>82</v>
      </c>
      <c r="B891" s="4">
        <v>26</v>
      </c>
      <c r="C891" s="5">
        <v>8.9</v>
      </c>
      <c r="D891" s="4">
        <v>10</v>
      </c>
      <c r="E891" s="5">
        <v>6.02</v>
      </c>
      <c r="F891" s="4">
        <v>16</v>
      </c>
      <c r="G891" s="5">
        <v>12.8</v>
      </c>
      <c r="H891" s="4">
        <v>0</v>
      </c>
    </row>
    <row r="892" spans="1:8" x14ac:dyDescent="0.2">
      <c r="A892" s="2" t="s">
        <v>83</v>
      </c>
      <c r="B892" s="4">
        <v>12</v>
      </c>
      <c r="C892" s="5">
        <v>4.1100000000000003</v>
      </c>
      <c r="D892" s="4">
        <v>5</v>
      </c>
      <c r="E892" s="5">
        <v>3.01</v>
      </c>
      <c r="F892" s="4">
        <v>7</v>
      </c>
      <c r="G892" s="5">
        <v>5.6</v>
      </c>
      <c r="H892" s="4">
        <v>0</v>
      </c>
    </row>
    <row r="893" spans="1:8" x14ac:dyDescent="0.2">
      <c r="A893" s="2" t="s">
        <v>84</v>
      </c>
      <c r="B893" s="4">
        <v>34</v>
      </c>
      <c r="C893" s="5">
        <v>11.64</v>
      </c>
      <c r="D893" s="4">
        <v>27</v>
      </c>
      <c r="E893" s="5">
        <v>16.27</v>
      </c>
      <c r="F893" s="4">
        <v>7</v>
      </c>
      <c r="G893" s="5">
        <v>5.6</v>
      </c>
      <c r="H893" s="4">
        <v>0</v>
      </c>
    </row>
    <row r="894" spans="1:8" x14ac:dyDescent="0.2">
      <c r="A894" s="2" t="s">
        <v>85</v>
      </c>
      <c r="B894" s="4">
        <v>48</v>
      </c>
      <c r="C894" s="5">
        <v>16.440000000000001</v>
      </c>
      <c r="D894" s="4">
        <v>41</v>
      </c>
      <c r="E894" s="5">
        <v>24.7</v>
      </c>
      <c r="F894" s="4">
        <v>7</v>
      </c>
      <c r="G894" s="5">
        <v>5.6</v>
      </c>
      <c r="H894" s="4">
        <v>0</v>
      </c>
    </row>
    <row r="895" spans="1:8" x14ac:dyDescent="0.2">
      <c r="A895" s="2" t="s">
        <v>86</v>
      </c>
      <c r="B895" s="4">
        <v>5</v>
      </c>
      <c r="C895" s="5">
        <v>1.71</v>
      </c>
      <c r="D895" s="4">
        <v>4</v>
      </c>
      <c r="E895" s="5">
        <v>2.41</v>
      </c>
      <c r="F895" s="4">
        <v>1</v>
      </c>
      <c r="G895" s="5">
        <v>0.8</v>
      </c>
      <c r="H895" s="4">
        <v>0</v>
      </c>
    </row>
    <row r="896" spans="1:8" x14ac:dyDescent="0.2">
      <c r="A896" s="2" t="s">
        <v>87</v>
      </c>
      <c r="B896" s="4">
        <v>19</v>
      </c>
      <c r="C896" s="5">
        <v>6.51</v>
      </c>
      <c r="D896" s="4">
        <v>12</v>
      </c>
      <c r="E896" s="5">
        <v>7.23</v>
      </c>
      <c r="F896" s="4">
        <v>6</v>
      </c>
      <c r="G896" s="5">
        <v>4.8</v>
      </c>
      <c r="H896" s="4">
        <v>1</v>
      </c>
    </row>
    <row r="897" spans="1:8" x14ac:dyDescent="0.2">
      <c r="A897" s="2" t="s">
        <v>88</v>
      </c>
      <c r="B897" s="4">
        <v>5</v>
      </c>
      <c r="C897" s="5">
        <v>1.71</v>
      </c>
      <c r="D897" s="4">
        <v>2</v>
      </c>
      <c r="E897" s="5">
        <v>1.2</v>
      </c>
      <c r="F897" s="4">
        <v>3</v>
      </c>
      <c r="G897" s="5">
        <v>2.4</v>
      </c>
      <c r="H897" s="4">
        <v>0</v>
      </c>
    </row>
    <row r="898" spans="1:8" x14ac:dyDescent="0.2">
      <c r="A898" s="1" t="s">
        <v>56</v>
      </c>
      <c r="B898" s="4">
        <v>430</v>
      </c>
      <c r="C898" s="5">
        <v>100</v>
      </c>
      <c r="D898" s="4">
        <v>250</v>
      </c>
      <c r="E898" s="5">
        <v>100</v>
      </c>
      <c r="F898" s="4">
        <v>173</v>
      </c>
      <c r="G898" s="5">
        <v>99.990000000000023</v>
      </c>
      <c r="H898" s="4">
        <v>2</v>
      </c>
    </row>
    <row r="899" spans="1:8" x14ac:dyDescent="0.2">
      <c r="A899" s="2" t="s">
        <v>74</v>
      </c>
      <c r="B899" s="4">
        <v>0</v>
      </c>
      <c r="C899" s="5">
        <v>0</v>
      </c>
      <c r="D899" s="4">
        <v>0</v>
      </c>
      <c r="E899" s="5">
        <v>0</v>
      </c>
      <c r="F899" s="4">
        <v>0</v>
      </c>
      <c r="G899" s="5">
        <v>0</v>
      </c>
      <c r="H899" s="4">
        <v>0</v>
      </c>
    </row>
    <row r="900" spans="1:8" x14ac:dyDescent="0.2">
      <c r="A900" s="2" t="s">
        <v>75</v>
      </c>
      <c r="B900" s="4">
        <v>91</v>
      </c>
      <c r="C900" s="5">
        <v>21.16</v>
      </c>
      <c r="D900" s="4">
        <v>41</v>
      </c>
      <c r="E900" s="5">
        <v>16.399999999999999</v>
      </c>
      <c r="F900" s="4">
        <v>50</v>
      </c>
      <c r="G900" s="5">
        <v>28.9</v>
      </c>
      <c r="H900" s="4">
        <v>0</v>
      </c>
    </row>
    <row r="901" spans="1:8" x14ac:dyDescent="0.2">
      <c r="A901" s="2" t="s">
        <v>76</v>
      </c>
      <c r="B901" s="4">
        <v>29</v>
      </c>
      <c r="C901" s="5">
        <v>6.74</v>
      </c>
      <c r="D901" s="4">
        <v>9</v>
      </c>
      <c r="E901" s="5">
        <v>3.6</v>
      </c>
      <c r="F901" s="4">
        <v>20</v>
      </c>
      <c r="G901" s="5">
        <v>11.56</v>
      </c>
      <c r="H901" s="4">
        <v>0</v>
      </c>
    </row>
    <row r="902" spans="1:8" x14ac:dyDescent="0.2">
      <c r="A902" s="2" t="s">
        <v>77</v>
      </c>
      <c r="B902" s="4">
        <v>1</v>
      </c>
      <c r="C902" s="5">
        <v>0.23</v>
      </c>
      <c r="D902" s="4">
        <v>0</v>
      </c>
      <c r="E902" s="5">
        <v>0</v>
      </c>
      <c r="F902" s="4">
        <v>1</v>
      </c>
      <c r="G902" s="5">
        <v>0.57999999999999996</v>
      </c>
      <c r="H902" s="4">
        <v>0</v>
      </c>
    </row>
    <row r="903" spans="1:8" x14ac:dyDescent="0.2">
      <c r="A903" s="2" t="s">
        <v>78</v>
      </c>
      <c r="B903" s="4">
        <v>6</v>
      </c>
      <c r="C903" s="5">
        <v>1.4</v>
      </c>
      <c r="D903" s="4">
        <v>1</v>
      </c>
      <c r="E903" s="5">
        <v>0.4</v>
      </c>
      <c r="F903" s="4">
        <v>5</v>
      </c>
      <c r="G903" s="5">
        <v>2.89</v>
      </c>
      <c r="H903" s="4">
        <v>0</v>
      </c>
    </row>
    <row r="904" spans="1:8" x14ac:dyDescent="0.2">
      <c r="A904" s="2" t="s">
        <v>79</v>
      </c>
      <c r="B904" s="4">
        <v>1</v>
      </c>
      <c r="C904" s="5">
        <v>0.23</v>
      </c>
      <c r="D904" s="4">
        <v>0</v>
      </c>
      <c r="E904" s="5">
        <v>0</v>
      </c>
      <c r="F904" s="4">
        <v>1</v>
      </c>
      <c r="G904" s="5">
        <v>0.57999999999999996</v>
      </c>
      <c r="H904" s="4">
        <v>0</v>
      </c>
    </row>
    <row r="905" spans="1:8" x14ac:dyDescent="0.2">
      <c r="A905" s="2" t="s">
        <v>80</v>
      </c>
      <c r="B905" s="4">
        <v>87</v>
      </c>
      <c r="C905" s="5">
        <v>20.23</v>
      </c>
      <c r="D905" s="4">
        <v>50</v>
      </c>
      <c r="E905" s="5">
        <v>20</v>
      </c>
      <c r="F905" s="4">
        <v>37</v>
      </c>
      <c r="G905" s="5">
        <v>21.39</v>
      </c>
      <c r="H905" s="4">
        <v>0</v>
      </c>
    </row>
    <row r="906" spans="1:8" x14ac:dyDescent="0.2">
      <c r="A906" s="2" t="s">
        <v>81</v>
      </c>
      <c r="B906" s="4">
        <v>1</v>
      </c>
      <c r="C906" s="5">
        <v>0.23</v>
      </c>
      <c r="D906" s="4">
        <v>1</v>
      </c>
      <c r="E906" s="5">
        <v>0.4</v>
      </c>
      <c r="F906" s="4">
        <v>0</v>
      </c>
      <c r="G906" s="5">
        <v>0</v>
      </c>
      <c r="H906" s="4">
        <v>0</v>
      </c>
    </row>
    <row r="907" spans="1:8" x14ac:dyDescent="0.2">
      <c r="A907" s="2" t="s">
        <v>82</v>
      </c>
      <c r="B907" s="4">
        <v>42</v>
      </c>
      <c r="C907" s="5">
        <v>9.77</v>
      </c>
      <c r="D907" s="4">
        <v>31</v>
      </c>
      <c r="E907" s="5">
        <v>12.4</v>
      </c>
      <c r="F907" s="4">
        <v>10</v>
      </c>
      <c r="G907" s="5">
        <v>5.78</v>
      </c>
      <c r="H907" s="4">
        <v>1</v>
      </c>
    </row>
    <row r="908" spans="1:8" x14ac:dyDescent="0.2">
      <c r="A908" s="2" t="s">
        <v>83</v>
      </c>
      <c r="B908" s="4">
        <v>26</v>
      </c>
      <c r="C908" s="5">
        <v>6.05</v>
      </c>
      <c r="D908" s="4">
        <v>12</v>
      </c>
      <c r="E908" s="5">
        <v>4.8</v>
      </c>
      <c r="F908" s="4">
        <v>14</v>
      </c>
      <c r="G908" s="5">
        <v>8.09</v>
      </c>
      <c r="H908" s="4">
        <v>0</v>
      </c>
    </row>
    <row r="909" spans="1:8" x14ac:dyDescent="0.2">
      <c r="A909" s="2" t="s">
        <v>84</v>
      </c>
      <c r="B909" s="4">
        <v>51</v>
      </c>
      <c r="C909" s="5">
        <v>11.86</v>
      </c>
      <c r="D909" s="4">
        <v>42</v>
      </c>
      <c r="E909" s="5">
        <v>16.8</v>
      </c>
      <c r="F909" s="4">
        <v>8</v>
      </c>
      <c r="G909" s="5">
        <v>4.62</v>
      </c>
      <c r="H909" s="4">
        <v>0</v>
      </c>
    </row>
    <row r="910" spans="1:8" x14ac:dyDescent="0.2">
      <c r="A910" s="2" t="s">
        <v>85</v>
      </c>
      <c r="B910" s="4">
        <v>54</v>
      </c>
      <c r="C910" s="5">
        <v>12.56</v>
      </c>
      <c r="D910" s="4">
        <v>39</v>
      </c>
      <c r="E910" s="5">
        <v>15.6</v>
      </c>
      <c r="F910" s="4">
        <v>13</v>
      </c>
      <c r="G910" s="5">
        <v>7.51</v>
      </c>
      <c r="H910" s="4">
        <v>1</v>
      </c>
    </row>
    <row r="911" spans="1:8" x14ac:dyDescent="0.2">
      <c r="A911" s="2" t="s">
        <v>86</v>
      </c>
      <c r="B911" s="4">
        <v>16</v>
      </c>
      <c r="C911" s="5">
        <v>3.72</v>
      </c>
      <c r="D911" s="4">
        <v>12</v>
      </c>
      <c r="E911" s="5">
        <v>4.8</v>
      </c>
      <c r="F911" s="4">
        <v>3</v>
      </c>
      <c r="G911" s="5">
        <v>1.73</v>
      </c>
      <c r="H911" s="4">
        <v>0</v>
      </c>
    </row>
    <row r="912" spans="1:8" x14ac:dyDescent="0.2">
      <c r="A912" s="2" t="s">
        <v>87</v>
      </c>
      <c r="B912" s="4">
        <v>19</v>
      </c>
      <c r="C912" s="5">
        <v>4.42</v>
      </c>
      <c r="D912" s="4">
        <v>11</v>
      </c>
      <c r="E912" s="5">
        <v>4.4000000000000004</v>
      </c>
      <c r="F912" s="4">
        <v>6</v>
      </c>
      <c r="G912" s="5">
        <v>3.47</v>
      </c>
      <c r="H912" s="4">
        <v>0</v>
      </c>
    </row>
    <row r="913" spans="1:8" x14ac:dyDescent="0.2">
      <c r="A913" s="2" t="s">
        <v>88</v>
      </c>
      <c r="B913" s="4">
        <v>6</v>
      </c>
      <c r="C913" s="5">
        <v>1.4</v>
      </c>
      <c r="D913" s="4">
        <v>1</v>
      </c>
      <c r="E913" s="5">
        <v>0.4</v>
      </c>
      <c r="F913" s="4">
        <v>5</v>
      </c>
      <c r="G913" s="5">
        <v>2.89</v>
      </c>
      <c r="H913" s="4">
        <v>0</v>
      </c>
    </row>
    <row r="914" spans="1:8" x14ac:dyDescent="0.2">
      <c r="A914" s="1" t="s">
        <v>57</v>
      </c>
      <c r="B914" s="4">
        <v>671</v>
      </c>
      <c r="C914" s="5">
        <v>100.01</v>
      </c>
      <c r="D914" s="4">
        <v>396</v>
      </c>
      <c r="E914" s="5">
        <v>100.00999999999999</v>
      </c>
      <c r="F914" s="4">
        <v>268</v>
      </c>
      <c r="G914" s="5">
        <v>99.999999999999986</v>
      </c>
      <c r="H914" s="4">
        <v>1</v>
      </c>
    </row>
    <row r="915" spans="1:8" x14ac:dyDescent="0.2">
      <c r="A915" s="2" t="s">
        <v>74</v>
      </c>
      <c r="B915" s="4">
        <v>0</v>
      </c>
      <c r="C915" s="5">
        <v>0</v>
      </c>
      <c r="D915" s="4">
        <v>0</v>
      </c>
      <c r="E915" s="5">
        <v>0</v>
      </c>
      <c r="F915" s="4">
        <v>0</v>
      </c>
      <c r="G915" s="5">
        <v>0</v>
      </c>
      <c r="H915" s="4">
        <v>0</v>
      </c>
    </row>
    <row r="916" spans="1:8" x14ac:dyDescent="0.2">
      <c r="A916" s="2" t="s">
        <v>75</v>
      </c>
      <c r="B916" s="4">
        <v>100</v>
      </c>
      <c r="C916" s="5">
        <v>14.9</v>
      </c>
      <c r="D916" s="4">
        <v>48</v>
      </c>
      <c r="E916" s="5">
        <v>12.12</v>
      </c>
      <c r="F916" s="4">
        <v>52</v>
      </c>
      <c r="G916" s="5">
        <v>19.399999999999999</v>
      </c>
      <c r="H916" s="4">
        <v>0</v>
      </c>
    </row>
    <row r="917" spans="1:8" x14ac:dyDescent="0.2">
      <c r="A917" s="2" t="s">
        <v>76</v>
      </c>
      <c r="B917" s="4">
        <v>104</v>
      </c>
      <c r="C917" s="5">
        <v>15.5</v>
      </c>
      <c r="D917" s="4">
        <v>47</v>
      </c>
      <c r="E917" s="5">
        <v>11.87</v>
      </c>
      <c r="F917" s="4">
        <v>57</v>
      </c>
      <c r="G917" s="5">
        <v>21.27</v>
      </c>
      <c r="H917" s="4">
        <v>0</v>
      </c>
    </row>
    <row r="918" spans="1:8" x14ac:dyDescent="0.2">
      <c r="A918" s="2" t="s">
        <v>77</v>
      </c>
      <c r="B918" s="4">
        <v>4</v>
      </c>
      <c r="C918" s="5">
        <v>0.6</v>
      </c>
      <c r="D918" s="4">
        <v>0</v>
      </c>
      <c r="E918" s="5">
        <v>0</v>
      </c>
      <c r="F918" s="4">
        <v>3</v>
      </c>
      <c r="G918" s="5">
        <v>1.1200000000000001</v>
      </c>
      <c r="H918" s="4">
        <v>0</v>
      </c>
    </row>
    <row r="919" spans="1:8" x14ac:dyDescent="0.2">
      <c r="A919" s="2" t="s">
        <v>78</v>
      </c>
      <c r="B919" s="4">
        <v>6</v>
      </c>
      <c r="C919" s="5">
        <v>0.89</v>
      </c>
      <c r="D919" s="4">
        <v>2</v>
      </c>
      <c r="E919" s="5">
        <v>0.51</v>
      </c>
      <c r="F919" s="4">
        <v>4</v>
      </c>
      <c r="G919" s="5">
        <v>1.49</v>
      </c>
      <c r="H919" s="4">
        <v>0</v>
      </c>
    </row>
    <row r="920" spans="1:8" x14ac:dyDescent="0.2">
      <c r="A920" s="2" t="s">
        <v>79</v>
      </c>
      <c r="B920" s="4">
        <v>5</v>
      </c>
      <c r="C920" s="5">
        <v>0.75</v>
      </c>
      <c r="D920" s="4">
        <v>2</v>
      </c>
      <c r="E920" s="5">
        <v>0.51</v>
      </c>
      <c r="F920" s="4">
        <v>3</v>
      </c>
      <c r="G920" s="5">
        <v>1.1200000000000001</v>
      </c>
      <c r="H920" s="4">
        <v>0</v>
      </c>
    </row>
    <row r="921" spans="1:8" x14ac:dyDescent="0.2">
      <c r="A921" s="2" t="s">
        <v>80</v>
      </c>
      <c r="B921" s="4">
        <v>163</v>
      </c>
      <c r="C921" s="5">
        <v>24.29</v>
      </c>
      <c r="D921" s="4">
        <v>90</v>
      </c>
      <c r="E921" s="5">
        <v>22.73</v>
      </c>
      <c r="F921" s="4">
        <v>73</v>
      </c>
      <c r="G921" s="5">
        <v>27.24</v>
      </c>
      <c r="H921" s="4">
        <v>0</v>
      </c>
    </row>
    <row r="922" spans="1:8" x14ac:dyDescent="0.2">
      <c r="A922" s="2" t="s">
        <v>81</v>
      </c>
      <c r="B922" s="4">
        <v>2</v>
      </c>
      <c r="C922" s="5">
        <v>0.3</v>
      </c>
      <c r="D922" s="4">
        <v>1</v>
      </c>
      <c r="E922" s="5">
        <v>0.25</v>
      </c>
      <c r="F922" s="4">
        <v>1</v>
      </c>
      <c r="G922" s="5">
        <v>0.37</v>
      </c>
      <c r="H922" s="4">
        <v>0</v>
      </c>
    </row>
    <row r="923" spans="1:8" x14ac:dyDescent="0.2">
      <c r="A923" s="2" t="s">
        <v>82</v>
      </c>
      <c r="B923" s="4">
        <v>44</v>
      </c>
      <c r="C923" s="5">
        <v>6.56</v>
      </c>
      <c r="D923" s="4">
        <v>24</v>
      </c>
      <c r="E923" s="5">
        <v>6.06</v>
      </c>
      <c r="F923" s="4">
        <v>20</v>
      </c>
      <c r="G923" s="5">
        <v>7.46</v>
      </c>
      <c r="H923" s="4">
        <v>0</v>
      </c>
    </row>
    <row r="924" spans="1:8" x14ac:dyDescent="0.2">
      <c r="A924" s="2" t="s">
        <v>83</v>
      </c>
      <c r="B924" s="4">
        <v>32</v>
      </c>
      <c r="C924" s="5">
        <v>4.7699999999999996</v>
      </c>
      <c r="D924" s="4">
        <v>17</v>
      </c>
      <c r="E924" s="5">
        <v>4.29</v>
      </c>
      <c r="F924" s="4">
        <v>15</v>
      </c>
      <c r="G924" s="5">
        <v>5.6</v>
      </c>
      <c r="H924" s="4">
        <v>0</v>
      </c>
    </row>
    <row r="925" spans="1:8" x14ac:dyDescent="0.2">
      <c r="A925" s="2" t="s">
        <v>84</v>
      </c>
      <c r="B925" s="4">
        <v>62</v>
      </c>
      <c r="C925" s="5">
        <v>9.24</v>
      </c>
      <c r="D925" s="4">
        <v>50</v>
      </c>
      <c r="E925" s="5">
        <v>12.63</v>
      </c>
      <c r="F925" s="4">
        <v>12</v>
      </c>
      <c r="G925" s="5">
        <v>4.4800000000000004</v>
      </c>
      <c r="H925" s="4">
        <v>0</v>
      </c>
    </row>
    <row r="926" spans="1:8" x14ac:dyDescent="0.2">
      <c r="A926" s="2" t="s">
        <v>85</v>
      </c>
      <c r="B926" s="4">
        <v>72</v>
      </c>
      <c r="C926" s="5">
        <v>10.73</v>
      </c>
      <c r="D926" s="4">
        <v>61</v>
      </c>
      <c r="E926" s="5">
        <v>15.4</v>
      </c>
      <c r="F926" s="4">
        <v>11</v>
      </c>
      <c r="G926" s="5">
        <v>4.0999999999999996</v>
      </c>
      <c r="H926" s="4">
        <v>0</v>
      </c>
    </row>
    <row r="927" spans="1:8" x14ac:dyDescent="0.2">
      <c r="A927" s="2" t="s">
        <v>86</v>
      </c>
      <c r="B927" s="4">
        <v>36</v>
      </c>
      <c r="C927" s="5">
        <v>5.37</v>
      </c>
      <c r="D927" s="4">
        <v>26</v>
      </c>
      <c r="E927" s="5">
        <v>6.57</v>
      </c>
      <c r="F927" s="4">
        <v>5</v>
      </c>
      <c r="G927" s="5">
        <v>1.87</v>
      </c>
      <c r="H927" s="4">
        <v>0</v>
      </c>
    </row>
    <row r="928" spans="1:8" x14ac:dyDescent="0.2">
      <c r="A928" s="2" t="s">
        <v>87</v>
      </c>
      <c r="B928" s="4">
        <v>28</v>
      </c>
      <c r="C928" s="5">
        <v>4.17</v>
      </c>
      <c r="D928" s="4">
        <v>19</v>
      </c>
      <c r="E928" s="5">
        <v>4.8</v>
      </c>
      <c r="F928" s="4">
        <v>8</v>
      </c>
      <c r="G928" s="5">
        <v>2.99</v>
      </c>
      <c r="H928" s="4">
        <v>1</v>
      </c>
    </row>
    <row r="929" spans="1:8" x14ac:dyDescent="0.2">
      <c r="A929" s="2" t="s">
        <v>88</v>
      </c>
      <c r="B929" s="4">
        <v>13</v>
      </c>
      <c r="C929" s="5">
        <v>1.94</v>
      </c>
      <c r="D929" s="4">
        <v>9</v>
      </c>
      <c r="E929" s="5">
        <v>2.27</v>
      </c>
      <c r="F929" s="4">
        <v>4</v>
      </c>
      <c r="G929" s="5">
        <v>1.49</v>
      </c>
      <c r="H929" s="4">
        <v>0</v>
      </c>
    </row>
    <row r="930" spans="1:8" x14ac:dyDescent="0.2">
      <c r="A930" s="1" t="s">
        <v>58</v>
      </c>
      <c r="B930" s="4">
        <v>490</v>
      </c>
      <c r="C930" s="5">
        <v>99.98</v>
      </c>
      <c r="D930" s="4">
        <v>228</v>
      </c>
      <c r="E930" s="5">
        <v>100</v>
      </c>
      <c r="F930" s="4">
        <v>260</v>
      </c>
      <c r="G930" s="5">
        <v>99.980000000000018</v>
      </c>
      <c r="H930" s="4">
        <v>0</v>
      </c>
    </row>
    <row r="931" spans="1:8" x14ac:dyDescent="0.2">
      <c r="A931" s="2" t="s">
        <v>74</v>
      </c>
      <c r="B931" s="4">
        <v>0</v>
      </c>
      <c r="C931" s="5">
        <v>0</v>
      </c>
      <c r="D931" s="4">
        <v>0</v>
      </c>
      <c r="E931" s="5">
        <v>0</v>
      </c>
      <c r="F931" s="4">
        <v>0</v>
      </c>
      <c r="G931" s="5">
        <v>0</v>
      </c>
      <c r="H931" s="4">
        <v>0</v>
      </c>
    </row>
    <row r="932" spans="1:8" x14ac:dyDescent="0.2">
      <c r="A932" s="2" t="s">
        <v>75</v>
      </c>
      <c r="B932" s="4">
        <v>131</v>
      </c>
      <c r="C932" s="5">
        <v>26.73</v>
      </c>
      <c r="D932" s="4">
        <v>57</v>
      </c>
      <c r="E932" s="5">
        <v>25</v>
      </c>
      <c r="F932" s="4">
        <v>74</v>
      </c>
      <c r="G932" s="5">
        <v>28.46</v>
      </c>
      <c r="H932" s="4">
        <v>0</v>
      </c>
    </row>
    <row r="933" spans="1:8" x14ac:dyDescent="0.2">
      <c r="A933" s="2" t="s">
        <v>76</v>
      </c>
      <c r="B933" s="4">
        <v>101</v>
      </c>
      <c r="C933" s="5">
        <v>20.61</v>
      </c>
      <c r="D933" s="4">
        <v>25</v>
      </c>
      <c r="E933" s="5">
        <v>10.96</v>
      </c>
      <c r="F933" s="4">
        <v>76</v>
      </c>
      <c r="G933" s="5">
        <v>29.23</v>
      </c>
      <c r="H933" s="4">
        <v>0</v>
      </c>
    </row>
    <row r="934" spans="1:8" x14ac:dyDescent="0.2">
      <c r="A934" s="2" t="s">
        <v>77</v>
      </c>
      <c r="B934" s="4">
        <v>0</v>
      </c>
      <c r="C934" s="5">
        <v>0</v>
      </c>
      <c r="D934" s="4">
        <v>0</v>
      </c>
      <c r="E934" s="5">
        <v>0</v>
      </c>
      <c r="F934" s="4">
        <v>0</v>
      </c>
      <c r="G934" s="5">
        <v>0</v>
      </c>
      <c r="H934" s="4">
        <v>0</v>
      </c>
    </row>
    <row r="935" spans="1:8" x14ac:dyDescent="0.2">
      <c r="A935" s="2" t="s">
        <v>78</v>
      </c>
      <c r="B935" s="4">
        <v>3</v>
      </c>
      <c r="C935" s="5">
        <v>0.61</v>
      </c>
      <c r="D935" s="4">
        <v>0</v>
      </c>
      <c r="E935" s="5">
        <v>0</v>
      </c>
      <c r="F935" s="4">
        <v>3</v>
      </c>
      <c r="G935" s="5">
        <v>1.1499999999999999</v>
      </c>
      <c r="H935" s="4">
        <v>0</v>
      </c>
    </row>
    <row r="936" spans="1:8" x14ac:dyDescent="0.2">
      <c r="A936" s="2" t="s">
        <v>79</v>
      </c>
      <c r="B936" s="4">
        <v>6</v>
      </c>
      <c r="C936" s="5">
        <v>1.22</v>
      </c>
      <c r="D936" s="4">
        <v>0</v>
      </c>
      <c r="E936" s="5">
        <v>0</v>
      </c>
      <c r="F936" s="4">
        <v>6</v>
      </c>
      <c r="G936" s="5">
        <v>2.31</v>
      </c>
      <c r="H936" s="4">
        <v>0</v>
      </c>
    </row>
    <row r="937" spans="1:8" x14ac:dyDescent="0.2">
      <c r="A937" s="2" t="s">
        <v>80</v>
      </c>
      <c r="B937" s="4">
        <v>80</v>
      </c>
      <c r="C937" s="5">
        <v>16.329999999999998</v>
      </c>
      <c r="D937" s="4">
        <v>41</v>
      </c>
      <c r="E937" s="5">
        <v>17.98</v>
      </c>
      <c r="F937" s="4">
        <v>39</v>
      </c>
      <c r="G937" s="5">
        <v>15</v>
      </c>
      <c r="H937" s="4">
        <v>0</v>
      </c>
    </row>
    <row r="938" spans="1:8" x14ac:dyDescent="0.2">
      <c r="A938" s="2" t="s">
        <v>81</v>
      </c>
      <c r="B938" s="4">
        <v>0</v>
      </c>
      <c r="C938" s="5">
        <v>0</v>
      </c>
      <c r="D938" s="4">
        <v>0</v>
      </c>
      <c r="E938" s="5">
        <v>0</v>
      </c>
      <c r="F938" s="4">
        <v>0</v>
      </c>
      <c r="G938" s="5">
        <v>0</v>
      </c>
      <c r="H938" s="4">
        <v>0</v>
      </c>
    </row>
    <row r="939" spans="1:8" x14ac:dyDescent="0.2">
      <c r="A939" s="2" t="s">
        <v>82</v>
      </c>
      <c r="B939" s="4">
        <v>19</v>
      </c>
      <c r="C939" s="5">
        <v>3.88</v>
      </c>
      <c r="D939" s="4">
        <v>1</v>
      </c>
      <c r="E939" s="5">
        <v>0.44</v>
      </c>
      <c r="F939" s="4">
        <v>18</v>
      </c>
      <c r="G939" s="5">
        <v>6.92</v>
      </c>
      <c r="H939" s="4">
        <v>0</v>
      </c>
    </row>
    <row r="940" spans="1:8" x14ac:dyDescent="0.2">
      <c r="A940" s="2" t="s">
        <v>83</v>
      </c>
      <c r="B940" s="4">
        <v>13</v>
      </c>
      <c r="C940" s="5">
        <v>2.65</v>
      </c>
      <c r="D940" s="4">
        <v>3</v>
      </c>
      <c r="E940" s="5">
        <v>1.32</v>
      </c>
      <c r="F940" s="4">
        <v>10</v>
      </c>
      <c r="G940" s="5">
        <v>3.85</v>
      </c>
      <c r="H940" s="4">
        <v>0</v>
      </c>
    </row>
    <row r="941" spans="1:8" x14ac:dyDescent="0.2">
      <c r="A941" s="2" t="s">
        <v>84</v>
      </c>
      <c r="B941" s="4">
        <v>40</v>
      </c>
      <c r="C941" s="5">
        <v>8.16</v>
      </c>
      <c r="D941" s="4">
        <v>36</v>
      </c>
      <c r="E941" s="5">
        <v>15.79</v>
      </c>
      <c r="F941" s="4">
        <v>3</v>
      </c>
      <c r="G941" s="5">
        <v>1.1499999999999999</v>
      </c>
      <c r="H941" s="4">
        <v>0</v>
      </c>
    </row>
    <row r="942" spans="1:8" x14ac:dyDescent="0.2">
      <c r="A942" s="2" t="s">
        <v>85</v>
      </c>
      <c r="B942" s="4">
        <v>40</v>
      </c>
      <c r="C942" s="5">
        <v>8.16</v>
      </c>
      <c r="D942" s="4">
        <v>33</v>
      </c>
      <c r="E942" s="5">
        <v>14.47</v>
      </c>
      <c r="F942" s="4">
        <v>7</v>
      </c>
      <c r="G942" s="5">
        <v>2.69</v>
      </c>
      <c r="H942" s="4">
        <v>0</v>
      </c>
    </row>
    <row r="943" spans="1:8" x14ac:dyDescent="0.2">
      <c r="A943" s="2" t="s">
        <v>86</v>
      </c>
      <c r="B943" s="4">
        <v>14</v>
      </c>
      <c r="C943" s="5">
        <v>2.86</v>
      </c>
      <c r="D943" s="4">
        <v>10</v>
      </c>
      <c r="E943" s="5">
        <v>4.3899999999999997</v>
      </c>
      <c r="F943" s="4">
        <v>3</v>
      </c>
      <c r="G943" s="5">
        <v>1.1499999999999999</v>
      </c>
      <c r="H943" s="4">
        <v>0</v>
      </c>
    </row>
    <row r="944" spans="1:8" x14ac:dyDescent="0.2">
      <c r="A944" s="2" t="s">
        <v>87</v>
      </c>
      <c r="B944" s="4">
        <v>13</v>
      </c>
      <c r="C944" s="5">
        <v>2.65</v>
      </c>
      <c r="D944" s="4">
        <v>8</v>
      </c>
      <c r="E944" s="5">
        <v>3.51</v>
      </c>
      <c r="F944" s="4">
        <v>5</v>
      </c>
      <c r="G944" s="5">
        <v>1.92</v>
      </c>
      <c r="H944" s="4">
        <v>0</v>
      </c>
    </row>
    <row r="945" spans="1:8" x14ac:dyDescent="0.2">
      <c r="A945" s="2" t="s">
        <v>88</v>
      </c>
      <c r="B945" s="4">
        <v>30</v>
      </c>
      <c r="C945" s="5">
        <v>6.12</v>
      </c>
      <c r="D945" s="4">
        <v>14</v>
      </c>
      <c r="E945" s="5">
        <v>6.14</v>
      </c>
      <c r="F945" s="4">
        <v>16</v>
      </c>
      <c r="G945" s="5">
        <v>6.15</v>
      </c>
      <c r="H945" s="4">
        <v>0</v>
      </c>
    </row>
    <row r="946" spans="1:8" x14ac:dyDescent="0.2">
      <c r="A946" s="1" t="s">
        <v>59</v>
      </c>
      <c r="B946" s="4">
        <v>396</v>
      </c>
      <c r="C946" s="5">
        <v>100.01</v>
      </c>
      <c r="D946" s="4">
        <v>203</v>
      </c>
      <c r="E946" s="5">
        <v>100.00999999999999</v>
      </c>
      <c r="F946" s="4">
        <v>189</v>
      </c>
      <c r="G946" s="5">
        <v>100.02000000000001</v>
      </c>
      <c r="H946" s="4">
        <v>1</v>
      </c>
    </row>
    <row r="947" spans="1:8" x14ac:dyDescent="0.2">
      <c r="A947" s="2" t="s">
        <v>74</v>
      </c>
      <c r="B947" s="4">
        <v>0</v>
      </c>
      <c r="C947" s="5">
        <v>0</v>
      </c>
      <c r="D947" s="4">
        <v>0</v>
      </c>
      <c r="E947" s="5">
        <v>0</v>
      </c>
      <c r="F947" s="4">
        <v>0</v>
      </c>
      <c r="G947" s="5">
        <v>0</v>
      </c>
      <c r="H947" s="4">
        <v>0</v>
      </c>
    </row>
    <row r="948" spans="1:8" x14ac:dyDescent="0.2">
      <c r="A948" s="2" t="s">
        <v>75</v>
      </c>
      <c r="B948" s="4">
        <v>117</v>
      </c>
      <c r="C948" s="5">
        <v>29.55</v>
      </c>
      <c r="D948" s="4">
        <v>58</v>
      </c>
      <c r="E948" s="5">
        <v>28.57</v>
      </c>
      <c r="F948" s="4">
        <v>59</v>
      </c>
      <c r="G948" s="5">
        <v>31.22</v>
      </c>
      <c r="H948" s="4">
        <v>0</v>
      </c>
    </row>
    <row r="949" spans="1:8" x14ac:dyDescent="0.2">
      <c r="A949" s="2" t="s">
        <v>76</v>
      </c>
      <c r="B949" s="4">
        <v>57</v>
      </c>
      <c r="C949" s="5">
        <v>14.39</v>
      </c>
      <c r="D949" s="4">
        <v>17</v>
      </c>
      <c r="E949" s="5">
        <v>8.3699999999999992</v>
      </c>
      <c r="F949" s="4">
        <v>40</v>
      </c>
      <c r="G949" s="5">
        <v>21.16</v>
      </c>
      <c r="H949" s="4">
        <v>0</v>
      </c>
    </row>
    <row r="950" spans="1:8" x14ac:dyDescent="0.2">
      <c r="A950" s="2" t="s">
        <v>77</v>
      </c>
      <c r="B950" s="4">
        <v>2</v>
      </c>
      <c r="C950" s="5">
        <v>0.51</v>
      </c>
      <c r="D950" s="4">
        <v>0</v>
      </c>
      <c r="E950" s="5">
        <v>0</v>
      </c>
      <c r="F950" s="4">
        <v>2</v>
      </c>
      <c r="G950" s="5">
        <v>1.06</v>
      </c>
      <c r="H950" s="4">
        <v>0</v>
      </c>
    </row>
    <row r="951" spans="1:8" x14ac:dyDescent="0.2">
      <c r="A951" s="2" t="s">
        <v>78</v>
      </c>
      <c r="B951" s="4">
        <v>3</v>
      </c>
      <c r="C951" s="5">
        <v>0.76</v>
      </c>
      <c r="D951" s="4">
        <v>2</v>
      </c>
      <c r="E951" s="5">
        <v>0.99</v>
      </c>
      <c r="F951" s="4">
        <v>1</v>
      </c>
      <c r="G951" s="5">
        <v>0.53</v>
      </c>
      <c r="H951" s="4">
        <v>0</v>
      </c>
    </row>
    <row r="952" spans="1:8" x14ac:dyDescent="0.2">
      <c r="A952" s="2" t="s">
        <v>79</v>
      </c>
      <c r="B952" s="4">
        <v>3</v>
      </c>
      <c r="C952" s="5">
        <v>0.76</v>
      </c>
      <c r="D952" s="4">
        <v>0</v>
      </c>
      <c r="E952" s="5">
        <v>0</v>
      </c>
      <c r="F952" s="4">
        <v>3</v>
      </c>
      <c r="G952" s="5">
        <v>1.59</v>
      </c>
      <c r="H952" s="4">
        <v>0</v>
      </c>
    </row>
    <row r="953" spans="1:8" x14ac:dyDescent="0.2">
      <c r="A953" s="2" t="s">
        <v>80</v>
      </c>
      <c r="B953" s="4">
        <v>76</v>
      </c>
      <c r="C953" s="5">
        <v>19.190000000000001</v>
      </c>
      <c r="D953" s="4">
        <v>37</v>
      </c>
      <c r="E953" s="5">
        <v>18.23</v>
      </c>
      <c r="F953" s="4">
        <v>39</v>
      </c>
      <c r="G953" s="5">
        <v>20.63</v>
      </c>
      <c r="H953" s="4">
        <v>0</v>
      </c>
    </row>
    <row r="954" spans="1:8" x14ac:dyDescent="0.2">
      <c r="A954" s="2" t="s">
        <v>81</v>
      </c>
      <c r="B954" s="4">
        <v>2</v>
      </c>
      <c r="C954" s="5">
        <v>0.51</v>
      </c>
      <c r="D954" s="4">
        <v>0</v>
      </c>
      <c r="E954" s="5">
        <v>0</v>
      </c>
      <c r="F954" s="4">
        <v>2</v>
      </c>
      <c r="G954" s="5">
        <v>1.06</v>
      </c>
      <c r="H954" s="4">
        <v>0</v>
      </c>
    </row>
    <row r="955" spans="1:8" x14ac:dyDescent="0.2">
      <c r="A955" s="2" t="s">
        <v>82</v>
      </c>
      <c r="B955" s="4">
        <v>12</v>
      </c>
      <c r="C955" s="5">
        <v>3.03</v>
      </c>
      <c r="D955" s="4">
        <v>0</v>
      </c>
      <c r="E955" s="5">
        <v>0</v>
      </c>
      <c r="F955" s="4">
        <v>12</v>
      </c>
      <c r="G955" s="5">
        <v>6.35</v>
      </c>
      <c r="H955" s="4">
        <v>0</v>
      </c>
    </row>
    <row r="956" spans="1:8" x14ac:dyDescent="0.2">
      <c r="A956" s="2" t="s">
        <v>83</v>
      </c>
      <c r="B956" s="4">
        <v>12</v>
      </c>
      <c r="C956" s="5">
        <v>3.03</v>
      </c>
      <c r="D956" s="4">
        <v>7</v>
      </c>
      <c r="E956" s="5">
        <v>3.45</v>
      </c>
      <c r="F956" s="4">
        <v>5</v>
      </c>
      <c r="G956" s="5">
        <v>2.65</v>
      </c>
      <c r="H956" s="4">
        <v>0</v>
      </c>
    </row>
    <row r="957" spans="1:8" x14ac:dyDescent="0.2">
      <c r="A957" s="2" t="s">
        <v>84</v>
      </c>
      <c r="B957" s="4">
        <v>36</v>
      </c>
      <c r="C957" s="5">
        <v>9.09</v>
      </c>
      <c r="D957" s="4">
        <v>32</v>
      </c>
      <c r="E957" s="5">
        <v>15.76</v>
      </c>
      <c r="F957" s="4">
        <v>4</v>
      </c>
      <c r="G957" s="5">
        <v>2.12</v>
      </c>
      <c r="H957" s="4">
        <v>0</v>
      </c>
    </row>
    <row r="958" spans="1:8" x14ac:dyDescent="0.2">
      <c r="A958" s="2" t="s">
        <v>85</v>
      </c>
      <c r="B958" s="4">
        <v>33</v>
      </c>
      <c r="C958" s="5">
        <v>8.33</v>
      </c>
      <c r="D958" s="4">
        <v>28</v>
      </c>
      <c r="E958" s="5">
        <v>13.79</v>
      </c>
      <c r="F958" s="4">
        <v>4</v>
      </c>
      <c r="G958" s="5">
        <v>2.12</v>
      </c>
      <c r="H958" s="4">
        <v>0</v>
      </c>
    </row>
    <row r="959" spans="1:8" x14ac:dyDescent="0.2">
      <c r="A959" s="2" t="s">
        <v>86</v>
      </c>
      <c r="B959" s="4">
        <v>7</v>
      </c>
      <c r="C959" s="5">
        <v>1.77</v>
      </c>
      <c r="D959" s="4">
        <v>6</v>
      </c>
      <c r="E959" s="5">
        <v>2.96</v>
      </c>
      <c r="F959" s="4">
        <v>0</v>
      </c>
      <c r="G959" s="5">
        <v>0</v>
      </c>
      <c r="H959" s="4">
        <v>1</v>
      </c>
    </row>
    <row r="960" spans="1:8" x14ac:dyDescent="0.2">
      <c r="A960" s="2" t="s">
        <v>87</v>
      </c>
      <c r="B960" s="4">
        <v>12</v>
      </c>
      <c r="C960" s="5">
        <v>3.03</v>
      </c>
      <c r="D960" s="4">
        <v>6</v>
      </c>
      <c r="E960" s="5">
        <v>2.96</v>
      </c>
      <c r="F960" s="4">
        <v>5</v>
      </c>
      <c r="G960" s="5">
        <v>2.65</v>
      </c>
      <c r="H960" s="4">
        <v>0</v>
      </c>
    </row>
    <row r="961" spans="1:8" x14ac:dyDescent="0.2">
      <c r="A961" s="2" t="s">
        <v>88</v>
      </c>
      <c r="B961" s="4">
        <v>24</v>
      </c>
      <c r="C961" s="5">
        <v>6.06</v>
      </c>
      <c r="D961" s="4">
        <v>10</v>
      </c>
      <c r="E961" s="5">
        <v>4.93</v>
      </c>
      <c r="F961" s="4">
        <v>13</v>
      </c>
      <c r="G961" s="5">
        <v>6.88</v>
      </c>
      <c r="H961" s="4">
        <v>0</v>
      </c>
    </row>
    <row r="962" spans="1:8" x14ac:dyDescent="0.2">
      <c r="A962" s="1" t="s">
        <v>60</v>
      </c>
      <c r="B962" s="4">
        <v>269</v>
      </c>
      <c r="C962" s="5">
        <v>99.99</v>
      </c>
      <c r="D962" s="4">
        <v>140</v>
      </c>
      <c r="E962" s="5">
        <v>100.00000000000001</v>
      </c>
      <c r="F962" s="4">
        <v>127</v>
      </c>
      <c r="G962" s="5">
        <v>99.99</v>
      </c>
      <c r="H962" s="4">
        <v>0</v>
      </c>
    </row>
    <row r="963" spans="1:8" x14ac:dyDescent="0.2">
      <c r="A963" s="2" t="s">
        <v>74</v>
      </c>
      <c r="B963" s="4">
        <v>0</v>
      </c>
      <c r="C963" s="5">
        <v>0</v>
      </c>
      <c r="D963" s="4">
        <v>0</v>
      </c>
      <c r="E963" s="5">
        <v>0</v>
      </c>
      <c r="F963" s="4">
        <v>0</v>
      </c>
      <c r="G963" s="5">
        <v>0</v>
      </c>
      <c r="H963" s="4">
        <v>0</v>
      </c>
    </row>
    <row r="964" spans="1:8" x14ac:dyDescent="0.2">
      <c r="A964" s="2" t="s">
        <v>75</v>
      </c>
      <c r="B964" s="4">
        <v>67</v>
      </c>
      <c r="C964" s="5">
        <v>24.91</v>
      </c>
      <c r="D964" s="4">
        <v>28</v>
      </c>
      <c r="E964" s="5">
        <v>20</v>
      </c>
      <c r="F964" s="4">
        <v>39</v>
      </c>
      <c r="G964" s="5">
        <v>30.71</v>
      </c>
      <c r="H964" s="4">
        <v>0</v>
      </c>
    </row>
    <row r="965" spans="1:8" x14ac:dyDescent="0.2">
      <c r="A965" s="2" t="s">
        <v>76</v>
      </c>
      <c r="B965" s="4">
        <v>37</v>
      </c>
      <c r="C965" s="5">
        <v>13.75</v>
      </c>
      <c r="D965" s="4">
        <v>15</v>
      </c>
      <c r="E965" s="5">
        <v>10.71</v>
      </c>
      <c r="F965" s="4">
        <v>22</v>
      </c>
      <c r="G965" s="5">
        <v>17.32</v>
      </c>
      <c r="H965" s="4">
        <v>0</v>
      </c>
    </row>
    <row r="966" spans="1:8" x14ac:dyDescent="0.2">
      <c r="A966" s="2" t="s">
        <v>77</v>
      </c>
      <c r="B966" s="4">
        <v>0</v>
      </c>
      <c r="C966" s="5">
        <v>0</v>
      </c>
      <c r="D966" s="4">
        <v>0</v>
      </c>
      <c r="E966" s="5">
        <v>0</v>
      </c>
      <c r="F966" s="4">
        <v>0</v>
      </c>
      <c r="G966" s="5">
        <v>0</v>
      </c>
      <c r="H966" s="4">
        <v>0</v>
      </c>
    </row>
    <row r="967" spans="1:8" x14ac:dyDescent="0.2">
      <c r="A967" s="2" t="s">
        <v>78</v>
      </c>
      <c r="B967" s="4">
        <v>4</v>
      </c>
      <c r="C967" s="5">
        <v>1.49</v>
      </c>
      <c r="D967" s="4">
        <v>0</v>
      </c>
      <c r="E967" s="5">
        <v>0</v>
      </c>
      <c r="F967" s="4">
        <v>4</v>
      </c>
      <c r="G967" s="5">
        <v>3.15</v>
      </c>
      <c r="H967" s="4">
        <v>0</v>
      </c>
    </row>
    <row r="968" spans="1:8" x14ac:dyDescent="0.2">
      <c r="A968" s="2" t="s">
        <v>79</v>
      </c>
      <c r="B968" s="4">
        <v>3</v>
      </c>
      <c r="C968" s="5">
        <v>1.1200000000000001</v>
      </c>
      <c r="D968" s="4">
        <v>2</v>
      </c>
      <c r="E968" s="5">
        <v>1.43</v>
      </c>
      <c r="F968" s="4">
        <v>1</v>
      </c>
      <c r="G968" s="5">
        <v>0.79</v>
      </c>
      <c r="H968" s="4">
        <v>0</v>
      </c>
    </row>
    <row r="969" spans="1:8" x14ac:dyDescent="0.2">
      <c r="A969" s="2" t="s">
        <v>80</v>
      </c>
      <c r="B969" s="4">
        <v>47</v>
      </c>
      <c r="C969" s="5">
        <v>17.47</v>
      </c>
      <c r="D969" s="4">
        <v>19</v>
      </c>
      <c r="E969" s="5">
        <v>13.57</v>
      </c>
      <c r="F969" s="4">
        <v>28</v>
      </c>
      <c r="G969" s="5">
        <v>22.05</v>
      </c>
      <c r="H969" s="4">
        <v>0</v>
      </c>
    </row>
    <row r="970" spans="1:8" x14ac:dyDescent="0.2">
      <c r="A970" s="2" t="s">
        <v>81</v>
      </c>
      <c r="B970" s="4">
        <v>1</v>
      </c>
      <c r="C970" s="5">
        <v>0.37</v>
      </c>
      <c r="D970" s="4">
        <v>0</v>
      </c>
      <c r="E970" s="5">
        <v>0</v>
      </c>
      <c r="F970" s="4">
        <v>1</v>
      </c>
      <c r="G970" s="5">
        <v>0.79</v>
      </c>
      <c r="H970" s="4">
        <v>0</v>
      </c>
    </row>
    <row r="971" spans="1:8" x14ac:dyDescent="0.2">
      <c r="A971" s="2" t="s">
        <v>82</v>
      </c>
      <c r="B971" s="4">
        <v>7</v>
      </c>
      <c r="C971" s="5">
        <v>2.6</v>
      </c>
      <c r="D971" s="4">
        <v>1</v>
      </c>
      <c r="E971" s="5">
        <v>0.71</v>
      </c>
      <c r="F971" s="4">
        <v>6</v>
      </c>
      <c r="G971" s="5">
        <v>4.72</v>
      </c>
      <c r="H971" s="4">
        <v>0</v>
      </c>
    </row>
    <row r="972" spans="1:8" x14ac:dyDescent="0.2">
      <c r="A972" s="2" t="s">
        <v>83</v>
      </c>
      <c r="B972" s="4">
        <v>19</v>
      </c>
      <c r="C972" s="5">
        <v>7.06</v>
      </c>
      <c r="D972" s="4">
        <v>11</v>
      </c>
      <c r="E972" s="5">
        <v>7.86</v>
      </c>
      <c r="F972" s="4">
        <v>8</v>
      </c>
      <c r="G972" s="5">
        <v>6.3</v>
      </c>
      <c r="H972" s="4">
        <v>0</v>
      </c>
    </row>
    <row r="973" spans="1:8" x14ac:dyDescent="0.2">
      <c r="A973" s="2" t="s">
        <v>84</v>
      </c>
      <c r="B973" s="4">
        <v>17</v>
      </c>
      <c r="C973" s="5">
        <v>6.32</v>
      </c>
      <c r="D973" s="4">
        <v>14</v>
      </c>
      <c r="E973" s="5">
        <v>10</v>
      </c>
      <c r="F973" s="4">
        <v>3</v>
      </c>
      <c r="G973" s="5">
        <v>2.36</v>
      </c>
      <c r="H973" s="4">
        <v>0</v>
      </c>
    </row>
    <row r="974" spans="1:8" x14ac:dyDescent="0.2">
      <c r="A974" s="2" t="s">
        <v>85</v>
      </c>
      <c r="B974" s="4">
        <v>28</v>
      </c>
      <c r="C974" s="5">
        <v>10.41</v>
      </c>
      <c r="D974" s="4">
        <v>23</v>
      </c>
      <c r="E974" s="5">
        <v>16.43</v>
      </c>
      <c r="F974" s="4">
        <v>4</v>
      </c>
      <c r="G974" s="5">
        <v>3.15</v>
      </c>
      <c r="H974" s="4">
        <v>0</v>
      </c>
    </row>
    <row r="975" spans="1:8" x14ac:dyDescent="0.2">
      <c r="A975" s="2" t="s">
        <v>86</v>
      </c>
      <c r="B975" s="4">
        <v>19</v>
      </c>
      <c r="C975" s="5">
        <v>7.06</v>
      </c>
      <c r="D975" s="4">
        <v>16</v>
      </c>
      <c r="E975" s="5">
        <v>11.43</v>
      </c>
      <c r="F975" s="4">
        <v>2</v>
      </c>
      <c r="G975" s="5">
        <v>1.57</v>
      </c>
      <c r="H975" s="4">
        <v>0</v>
      </c>
    </row>
    <row r="976" spans="1:8" x14ac:dyDescent="0.2">
      <c r="A976" s="2" t="s">
        <v>87</v>
      </c>
      <c r="B976" s="4">
        <v>8</v>
      </c>
      <c r="C976" s="5">
        <v>2.97</v>
      </c>
      <c r="D976" s="4">
        <v>6</v>
      </c>
      <c r="E976" s="5">
        <v>4.29</v>
      </c>
      <c r="F976" s="4">
        <v>2</v>
      </c>
      <c r="G976" s="5">
        <v>1.57</v>
      </c>
      <c r="H976" s="4">
        <v>0</v>
      </c>
    </row>
    <row r="977" spans="1:8" x14ac:dyDescent="0.2">
      <c r="A977" s="2" t="s">
        <v>88</v>
      </c>
      <c r="B977" s="4">
        <v>12</v>
      </c>
      <c r="C977" s="5">
        <v>4.46</v>
      </c>
      <c r="D977" s="4">
        <v>5</v>
      </c>
      <c r="E977" s="5">
        <v>3.57</v>
      </c>
      <c r="F977" s="4">
        <v>7</v>
      </c>
      <c r="G977" s="5">
        <v>5.51</v>
      </c>
      <c r="H977" s="4">
        <v>0</v>
      </c>
    </row>
    <row r="978" spans="1:8" x14ac:dyDescent="0.2">
      <c r="A978" s="1" t="s">
        <v>61</v>
      </c>
      <c r="B978" s="4">
        <v>350</v>
      </c>
      <c r="C978" s="5">
        <v>100.01</v>
      </c>
      <c r="D978" s="4">
        <v>195</v>
      </c>
      <c r="E978" s="5">
        <v>99.99</v>
      </c>
      <c r="F978" s="4">
        <v>149</v>
      </c>
      <c r="G978" s="5">
        <v>99.990000000000023</v>
      </c>
      <c r="H978" s="4">
        <v>0</v>
      </c>
    </row>
    <row r="979" spans="1:8" x14ac:dyDescent="0.2">
      <c r="A979" s="2" t="s">
        <v>74</v>
      </c>
      <c r="B979" s="4">
        <v>0</v>
      </c>
      <c r="C979" s="5">
        <v>0</v>
      </c>
      <c r="D979" s="4">
        <v>0</v>
      </c>
      <c r="E979" s="5">
        <v>0</v>
      </c>
      <c r="F979" s="4">
        <v>0</v>
      </c>
      <c r="G979" s="5">
        <v>0</v>
      </c>
      <c r="H979" s="4">
        <v>0</v>
      </c>
    </row>
    <row r="980" spans="1:8" x14ac:dyDescent="0.2">
      <c r="A980" s="2" t="s">
        <v>75</v>
      </c>
      <c r="B980" s="4">
        <v>66</v>
      </c>
      <c r="C980" s="5">
        <v>18.86</v>
      </c>
      <c r="D980" s="4">
        <v>33</v>
      </c>
      <c r="E980" s="5">
        <v>16.920000000000002</v>
      </c>
      <c r="F980" s="4">
        <v>33</v>
      </c>
      <c r="G980" s="5">
        <v>22.15</v>
      </c>
      <c r="H980" s="4">
        <v>0</v>
      </c>
    </row>
    <row r="981" spans="1:8" x14ac:dyDescent="0.2">
      <c r="A981" s="2" t="s">
        <v>76</v>
      </c>
      <c r="B981" s="4">
        <v>104</v>
      </c>
      <c r="C981" s="5">
        <v>29.71</v>
      </c>
      <c r="D981" s="4">
        <v>43</v>
      </c>
      <c r="E981" s="5">
        <v>22.05</v>
      </c>
      <c r="F981" s="4">
        <v>61</v>
      </c>
      <c r="G981" s="5">
        <v>40.94</v>
      </c>
      <c r="H981" s="4">
        <v>0</v>
      </c>
    </row>
    <row r="982" spans="1:8" x14ac:dyDescent="0.2">
      <c r="A982" s="2" t="s">
        <v>77</v>
      </c>
      <c r="B982" s="4">
        <v>0</v>
      </c>
      <c r="C982" s="5">
        <v>0</v>
      </c>
      <c r="D982" s="4">
        <v>0</v>
      </c>
      <c r="E982" s="5">
        <v>0</v>
      </c>
      <c r="F982" s="4">
        <v>0</v>
      </c>
      <c r="G982" s="5">
        <v>0</v>
      </c>
      <c r="H982" s="4">
        <v>0</v>
      </c>
    </row>
    <row r="983" spans="1:8" x14ac:dyDescent="0.2">
      <c r="A983" s="2" t="s">
        <v>78</v>
      </c>
      <c r="B983" s="4">
        <v>3</v>
      </c>
      <c r="C983" s="5">
        <v>0.86</v>
      </c>
      <c r="D983" s="4">
        <v>0</v>
      </c>
      <c r="E983" s="5">
        <v>0</v>
      </c>
      <c r="F983" s="4">
        <v>3</v>
      </c>
      <c r="G983" s="5">
        <v>2.0099999999999998</v>
      </c>
      <c r="H983" s="4">
        <v>0</v>
      </c>
    </row>
    <row r="984" spans="1:8" x14ac:dyDescent="0.2">
      <c r="A984" s="2" t="s">
        <v>79</v>
      </c>
      <c r="B984" s="4">
        <v>3</v>
      </c>
      <c r="C984" s="5">
        <v>0.86</v>
      </c>
      <c r="D984" s="4">
        <v>0</v>
      </c>
      <c r="E984" s="5">
        <v>0</v>
      </c>
      <c r="F984" s="4">
        <v>3</v>
      </c>
      <c r="G984" s="5">
        <v>2.0099999999999998</v>
      </c>
      <c r="H984" s="4">
        <v>0</v>
      </c>
    </row>
    <row r="985" spans="1:8" x14ac:dyDescent="0.2">
      <c r="A985" s="2" t="s">
        <v>80</v>
      </c>
      <c r="B985" s="4">
        <v>72</v>
      </c>
      <c r="C985" s="5">
        <v>20.57</v>
      </c>
      <c r="D985" s="4">
        <v>47</v>
      </c>
      <c r="E985" s="5">
        <v>24.1</v>
      </c>
      <c r="F985" s="4">
        <v>25</v>
      </c>
      <c r="G985" s="5">
        <v>16.78</v>
      </c>
      <c r="H985" s="4">
        <v>0</v>
      </c>
    </row>
    <row r="986" spans="1:8" x14ac:dyDescent="0.2">
      <c r="A986" s="2" t="s">
        <v>81</v>
      </c>
      <c r="B986" s="4">
        <v>1</v>
      </c>
      <c r="C986" s="5">
        <v>0.28999999999999998</v>
      </c>
      <c r="D986" s="4">
        <v>1</v>
      </c>
      <c r="E986" s="5">
        <v>0.51</v>
      </c>
      <c r="F986" s="4">
        <v>0</v>
      </c>
      <c r="G986" s="5">
        <v>0</v>
      </c>
      <c r="H986" s="4">
        <v>0</v>
      </c>
    </row>
    <row r="987" spans="1:8" x14ac:dyDescent="0.2">
      <c r="A987" s="2" t="s">
        <v>82</v>
      </c>
      <c r="B987" s="4">
        <v>8</v>
      </c>
      <c r="C987" s="5">
        <v>2.29</v>
      </c>
      <c r="D987" s="4">
        <v>0</v>
      </c>
      <c r="E987" s="5">
        <v>0</v>
      </c>
      <c r="F987" s="4">
        <v>8</v>
      </c>
      <c r="G987" s="5">
        <v>5.37</v>
      </c>
      <c r="H987" s="4">
        <v>0</v>
      </c>
    </row>
    <row r="988" spans="1:8" x14ac:dyDescent="0.2">
      <c r="A988" s="2" t="s">
        <v>83</v>
      </c>
      <c r="B988" s="4">
        <v>6</v>
      </c>
      <c r="C988" s="5">
        <v>1.71</v>
      </c>
      <c r="D988" s="4">
        <v>4</v>
      </c>
      <c r="E988" s="5">
        <v>2.0499999999999998</v>
      </c>
      <c r="F988" s="4">
        <v>2</v>
      </c>
      <c r="G988" s="5">
        <v>1.34</v>
      </c>
      <c r="H988" s="4">
        <v>0</v>
      </c>
    </row>
    <row r="989" spans="1:8" x14ac:dyDescent="0.2">
      <c r="A989" s="2" t="s">
        <v>84</v>
      </c>
      <c r="B989" s="4">
        <v>35</v>
      </c>
      <c r="C989" s="5">
        <v>10</v>
      </c>
      <c r="D989" s="4">
        <v>32</v>
      </c>
      <c r="E989" s="5">
        <v>16.41</v>
      </c>
      <c r="F989" s="4">
        <v>3</v>
      </c>
      <c r="G989" s="5">
        <v>2.0099999999999998</v>
      </c>
      <c r="H989" s="4">
        <v>0</v>
      </c>
    </row>
    <row r="990" spans="1:8" x14ac:dyDescent="0.2">
      <c r="A990" s="2" t="s">
        <v>85</v>
      </c>
      <c r="B990" s="4">
        <v>24</v>
      </c>
      <c r="C990" s="5">
        <v>6.86</v>
      </c>
      <c r="D990" s="4">
        <v>18</v>
      </c>
      <c r="E990" s="5">
        <v>9.23</v>
      </c>
      <c r="F990" s="4">
        <v>5</v>
      </c>
      <c r="G990" s="5">
        <v>3.36</v>
      </c>
      <c r="H990" s="4">
        <v>0</v>
      </c>
    </row>
    <row r="991" spans="1:8" x14ac:dyDescent="0.2">
      <c r="A991" s="2" t="s">
        <v>86</v>
      </c>
      <c r="B991" s="4">
        <v>8</v>
      </c>
      <c r="C991" s="5">
        <v>2.29</v>
      </c>
      <c r="D991" s="4">
        <v>4</v>
      </c>
      <c r="E991" s="5">
        <v>2.0499999999999998</v>
      </c>
      <c r="F991" s="4">
        <v>1</v>
      </c>
      <c r="G991" s="5">
        <v>0.67</v>
      </c>
      <c r="H991" s="4">
        <v>0</v>
      </c>
    </row>
    <row r="992" spans="1:8" x14ac:dyDescent="0.2">
      <c r="A992" s="2" t="s">
        <v>87</v>
      </c>
      <c r="B992" s="4">
        <v>9</v>
      </c>
      <c r="C992" s="5">
        <v>2.57</v>
      </c>
      <c r="D992" s="4">
        <v>6</v>
      </c>
      <c r="E992" s="5">
        <v>3.08</v>
      </c>
      <c r="F992" s="4">
        <v>2</v>
      </c>
      <c r="G992" s="5">
        <v>1.34</v>
      </c>
      <c r="H992" s="4">
        <v>0</v>
      </c>
    </row>
    <row r="993" spans="1:8" x14ac:dyDescent="0.2">
      <c r="A993" s="2" t="s">
        <v>88</v>
      </c>
      <c r="B993" s="4">
        <v>11</v>
      </c>
      <c r="C993" s="5">
        <v>3.14</v>
      </c>
      <c r="D993" s="4">
        <v>7</v>
      </c>
      <c r="E993" s="5">
        <v>3.59</v>
      </c>
      <c r="F993" s="4">
        <v>3</v>
      </c>
      <c r="G993" s="5">
        <v>2.0099999999999998</v>
      </c>
      <c r="H993" s="4">
        <v>0</v>
      </c>
    </row>
    <row r="994" spans="1:8" x14ac:dyDescent="0.2">
      <c r="A994" s="1" t="s">
        <v>62</v>
      </c>
      <c r="B994" s="4">
        <v>205</v>
      </c>
      <c r="C994" s="5">
        <v>100</v>
      </c>
      <c r="D994" s="4">
        <v>115</v>
      </c>
      <c r="E994" s="5">
        <v>100</v>
      </c>
      <c r="F994" s="4">
        <v>86</v>
      </c>
      <c r="G994" s="5">
        <v>99.999999999999986</v>
      </c>
      <c r="H994" s="4">
        <v>0</v>
      </c>
    </row>
    <row r="995" spans="1:8" x14ac:dyDescent="0.2">
      <c r="A995" s="2" t="s">
        <v>74</v>
      </c>
      <c r="B995" s="4">
        <v>1</v>
      </c>
      <c r="C995" s="5">
        <v>0.49</v>
      </c>
      <c r="D995" s="4">
        <v>0</v>
      </c>
      <c r="E995" s="5">
        <v>0</v>
      </c>
      <c r="F995" s="4">
        <v>1</v>
      </c>
      <c r="G995" s="5">
        <v>1.1599999999999999</v>
      </c>
      <c r="H995" s="4">
        <v>0</v>
      </c>
    </row>
    <row r="996" spans="1:8" x14ac:dyDescent="0.2">
      <c r="A996" s="2" t="s">
        <v>75</v>
      </c>
      <c r="B996" s="4">
        <v>43</v>
      </c>
      <c r="C996" s="5">
        <v>20.98</v>
      </c>
      <c r="D996" s="4">
        <v>15</v>
      </c>
      <c r="E996" s="5">
        <v>13.04</v>
      </c>
      <c r="F996" s="4">
        <v>28</v>
      </c>
      <c r="G996" s="5">
        <v>32.56</v>
      </c>
      <c r="H996" s="4">
        <v>0</v>
      </c>
    </row>
    <row r="997" spans="1:8" x14ac:dyDescent="0.2">
      <c r="A997" s="2" t="s">
        <v>76</v>
      </c>
      <c r="B997" s="4">
        <v>28</v>
      </c>
      <c r="C997" s="5">
        <v>13.66</v>
      </c>
      <c r="D997" s="4">
        <v>10</v>
      </c>
      <c r="E997" s="5">
        <v>8.6999999999999993</v>
      </c>
      <c r="F997" s="4">
        <v>18</v>
      </c>
      <c r="G997" s="5">
        <v>20.93</v>
      </c>
      <c r="H997" s="4">
        <v>0</v>
      </c>
    </row>
    <row r="998" spans="1:8" x14ac:dyDescent="0.2">
      <c r="A998" s="2" t="s">
        <v>77</v>
      </c>
      <c r="B998" s="4">
        <v>2</v>
      </c>
      <c r="C998" s="5">
        <v>0.98</v>
      </c>
      <c r="D998" s="4">
        <v>0</v>
      </c>
      <c r="E998" s="5">
        <v>0</v>
      </c>
      <c r="F998" s="4">
        <v>1</v>
      </c>
      <c r="G998" s="5">
        <v>1.1599999999999999</v>
      </c>
      <c r="H998" s="4">
        <v>0</v>
      </c>
    </row>
    <row r="999" spans="1:8" x14ac:dyDescent="0.2">
      <c r="A999" s="2" t="s">
        <v>78</v>
      </c>
      <c r="B999" s="4">
        <v>0</v>
      </c>
      <c r="C999" s="5">
        <v>0</v>
      </c>
      <c r="D999" s="4">
        <v>0</v>
      </c>
      <c r="E999" s="5">
        <v>0</v>
      </c>
      <c r="F999" s="4">
        <v>0</v>
      </c>
      <c r="G999" s="5">
        <v>0</v>
      </c>
      <c r="H999" s="4">
        <v>0</v>
      </c>
    </row>
    <row r="1000" spans="1:8" x14ac:dyDescent="0.2">
      <c r="A1000" s="2" t="s">
        <v>79</v>
      </c>
      <c r="B1000" s="4">
        <v>4</v>
      </c>
      <c r="C1000" s="5">
        <v>1.95</v>
      </c>
      <c r="D1000" s="4">
        <v>0</v>
      </c>
      <c r="E1000" s="5">
        <v>0</v>
      </c>
      <c r="F1000" s="4">
        <v>4</v>
      </c>
      <c r="G1000" s="5">
        <v>4.6500000000000004</v>
      </c>
      <c r="H1000" s="4">
        <v>0</v>
      </c>
    </row>
    <row r="1001" spans="1:8" x14ac:dyDescent="0.2">
      <c r="A1001" s="2" t="s">
        <v>80</v>
      </c>
      <c r="B1001" s="4">
        <v>26</v>
      </c>
      <c r="C1001" s="5">
        <v>12.68</v>
      </c>
      <c r="D1001" s="4">
        <v>14</v>
      </c>
      <c r="E1001" s="5">
        <v>12.17</v>
      </c>
      <c r="F1001" s="4">
        <v>12</v>
      </c>
      <c r="G1001" s="5">
        <v>13.95</v>
      </c>
      <c r="H1001" s="4">
        <v>0</v>
      </c>
    </row>
    <row r="1002" spans="1:8" x14ac:dyDescent="0.2">
      <c r="A1002" s="2" t="s">
        <v>81</v>
      </c>
      <c r="B1002" s="4">
        <v>0</v>
      </c>
      <c r="C1002" s="5">
        <v>0</v>
      </c>
      <c r="D1002" s="4">
        <v>0</v>
      </c>
      <c r="E1002" s="5">
        <v>0</v>
      </c>
      <c r="F1002" s="4">
        <v>0</v>
      </c>
      <c r="G1002" s="5">
        <v>0</v>
      </c>
      <c r="H1002" s="4">
        <v>0</v>
      </c>
    </row>
    <row r="1003" spans="1:8" x14ac:dyDescent="0.2">
      <c r="A1003" s="2" t="s">
        <v>82</v>
      </c>
      <c r="B1003" s="4">
        <v>30</v>
      </c>
      <c r="C1003" s="5">
        <v>14.63</v>
      </c>
      <c r="D1003" s="4">
        <v>23</v>
      </c>
      <c r="E1003" s="5">
        <v>20</v>
      </c>
      <c r="F1003" s="4">
        <v>7</v>
      </c>
      <c r="G1003" s="5">
        <v>8.14</v>
      </c>
      <c r="H1003" s="4">
        <v>0</v>
      </c>
    </row>
    <row r="1004" spans="1:8" x14ac:dyDescent="0.2">
      <c r="A1004" s="2" t="s">
        <v>83</v>
      </c>
      <c r="B1004" s="4">
        <v>6</v>
      </c>
      <c r="C1004" s="5">
        <v>2.93</v>
      </c>
      <c r="D1004" s="4">
        <v>3</v>
      </c>
      <c r="E1004" s="5">
        <v>2.61</v>
      </c>
      <c r="F1004" s="4">
        <v>3</v>
      </c>
      <c r="G1004" s="5">
        <v>3.49</v>
      </c>
      <c r="H1004" s="4">
        <v>0</v>
      </c>
    </row>
    <row r="1005" spans="1:8" x14ac:dyDescent="0.2">
      <c r="A1005" s="2" t="s">
        <v>84</v>
      </c>
      <c r="B1005" s="4">
        <v>23</v>
      </c>
      <c r="C1005" s="5">
        <v>11.22</v>
      </c>
      <c r="D1005" s="4">
        <v>20</v>
      </c>
      <c r="E1005" s="5">
        <v>17.39</v>
      </c>
      <c r="F1005" s="4">
        <v>2</v>
      </c>
      <c r="G1005" s="5">
        <v>2.33</v>
      </c>
      <c r="H1005" s="4">
        <v>0</v>
      </c>
    </row>
    <row r="1006" spans="1:8" x14ac:dyDescent="0.2">
      <c r="A1006" s="2" t="s">
        <v>85</v>
      </c>
      <c r="B1006" s="4">
        <v>23</v>
      </c>
      <c r="C1006" s="5">
        <v>11.22</v>
      </c>
      <c r="D1006" s="4">
        <v>18</v>
      </c>
      <c r="E1006" s="5">
        <v>15.65</v>
      </c>
      <c r="F1006" s="4">
        <v>5</v>
      </c>
      <c r="G1006" s="5">
        <v>5.81</v>
      </c>
      <c r="H1006" s="4">
        <v>0</v>
      </c>
    </row>
    <row r="1007" spans="1:8" x14ac:dyDescent="0.2">
      <c r="A1007" s="2" t="s">
        <v>86</v>
      </c>
      <c r="B1007" s="4">
        <v>3</v>
      </c>
      <c r="C1007" s="5">
        <v>1.46</v>
      </c>
      <c r="D1007" s="4">
        <v>1</v>
      </c>
      <c r="E1007" s="5">
        <v>0.87</v>
      </c>
      <c r="F1007" s="4">
        <v>0</v>
      </c>
      <c r="G1007" s="5">
        <v>0</v>
      </c>
      <c r="H1007" s="4">
        <v>0</v>
      </c>
    </row>
    <row r="1008" spans="1:8" x14ac:dyDescent="0.2">
      <c r="A1008" s="2" t="s">
        <v>87</v>
      </c>
      <c r="B1008" s="4">
        <v>8</v>
      </c>
      <c r="C1008" s="5">
        <v>3.9</v>
      </c>
      <c r="D1008" s="4">
        <v>6</v>
      </c>
      <c r="E1008" s="5">
        <v>5.22</v>
      </c>
      <c r="F1008" s="4">
        <v>2</v>
      </c>
      <c r="G1008" s="5">
        <v>2.33</v>
      </c>
      <c r="H1008" s="4">
        <v>0</v>
      </c>
    </row>
    <row r="1009" spans="1:8" x14ac:dyDescent="0.2">
      <c r="A1009" s="2" t="s">
        <v>88</v>
      </c>
      <c r="B1009" s="4">
        <v>8</v>
      </c>
      <c r="C1009" s="5">
        <v>3.9</v>
      </c>
      <c r="D1009" s="4">
        <v>5</v>
      </c>
      <c r="E1009" s="5">
        <v>4.3499999999999996</v>
      </c>
      <c r="F1009" s="4">
        <v>3</v>
      </c>
      <c r="G1009" s="5">
        <v>3.49</v>
      </c>
      <c r="H1009" s="4">
        <v>0</v>
      </c>
    </row>
    <row r="1010" spans="1:8" x14ac:dyDescent="0.2">
      <c r="A1010" s="1" t="s">
        <v>63</v>
      </c>
      <c r="B1010" s="4">
        <v>295</v>
      </c>
      <c r="C1010" s="5">
        <v>100</v>
      </c>
      <c r="D1010" s="4">
        <v>185</v>
      </c>
      <c r="E1010" s="5">
        <v>100.01</v>
      </c>
      <c r="F1010" s="4">
        <v>106</v>
      </c>
      <c r="G1010" s="5">
        <v>99.989999999999966</v>
      </c>
      <c r="H1010" s="4">
        <v>0</v>
      </c>
    </row>
    <row r="1011" spans="1:8" x14ac:dyDescent="0.2">
      <c r="A1011" s="2" t="s">
        <v>74</v>
      </c>
      <c r="B1011" s="4">
        <v>0</v>
      </c>
      <c r="C1011" s="5">
        <v>0</v>
      </c>
      <c r="D1011" s="4">
        <v>0</v>
      </c>
      <c r="E1011" s="5">
        <v>0</v>
      </c>
      <c r="F1011" s="4">
        <v>0</v>
      </c>
      <c r="G1011" s="5">
        <v>0</v>
      </c>
      <c r="H1011" s="4">
        <v>0</v>
      </c>
    </row>
    <row r="1012" spans="1:8" x14ac:dyDescent="0.2">
      <c r="A1012" s="2" t="s">
        <v>75</v>
      </c>
      <c r="B1012" s="4">
        <v>58</v>
      </c>
      <c r="C1012" s="5">
        <v>19.66</v>
      </c>
      <c r="D1012" s="4">
        <v>29</v>
      </c>
      <c r="E1012" s="5">
        <v>15.68</v>
      </c>
      <c r="F1012" s="4">
        <v>29</v>
      </c>
      <c r="G1012" s="5">
        <v>27.36</v>
      </c>
      <c r="H1012" s="4">
        <v>0</v>
      </c>
    </row>
    <row r="1013" spans="1:8" x14ac:dyDescent="0.2">
      <c r="A1013" s="2" t="s">
        <v>76</v>
      </c>
      <c r="B1013" s="4">
        <v>30</v>
      </c>
      <c r="C1013" s="5">
        <v>10.17</v>
      </c>
      <c r="D1013" s="4">
        <v>11</v>
      </c>
      <c r="E1013" s="5">
        <v>5.95</v>
      </c>
      <c r="F1013" s="4">
        <v>19</v>
      </c>
      <c r="G1013" s="5">
        <v>17.920000000000002</v>
      </c>
      <c r="H1013" s="4">
        <v>0</v>
      </c>
    </row>
    <row r="1014" spans="1:8" x14ac:dyDescent="0.2">
      <c r="A1014" s="2" t="s">
        <v>77</v>
      </c>
      <c r="B1014" s="4">
        <v>3</v>
      </c>
      <c r="C1014" s="5">
        <v>1.02</v>
      </c>
      <c r="D1014" s="4">
        <v>0</v>
      </c>
      <c r="E1014" s="5">
        <v>0</v>
      </c>
      <c r="F1014" s="4">
        <v>3</v>
      </c>
      <c r="G1014" s="5">
        <v>2.83</v>
      </c>
      <c r="H1014" s="4">
        <v>0</v>
      </c>
    </row>
    <row r="1015" spans="1:8" x14ac:dyDescent="0.2">
      <c r="A1015" s="2" t="s">
        <v>78</v>
      </c>
      <c r="B1015" s="4">
        <v>0</v>
      </c>
      <c r="C1015" s="5">
        <v>0</v>
      </c>
      <c r="D1015" s="4">
        <v>0</v>
      </c>
      <c r="E1015" s="5">
        <v>0</v>
      </c>
      <c r="F1015" s="4">
        <v>0</v>
      </c>
      <c r="G1015" s="5">
        <v>0</v>
      </c>
      <c r="H1015" s="4">
        <v>0</v>
      </c>
    </row>
    <row r="1016" spans="1:8" x14ac:dyDescent="0.2">
      <c r="A1016" s="2" t="s">
        <v>79</v>
      </c>
      <c r="B1016" s="4">
        <v>4</v>
      </c>
      <c r="C1016" s="5">
        <v>1.36</v>
      </c>
      <c r="D1016" s="4">
        <v>0</v>
      </c>
      <c r="E1016" s="5">
        <v>0</v>
      </c>
      <c r="F1016" s="4">
        <v>3</v>
      </c>
      <c r="G1016" s="5">
        <v>2.83</v>
      </c>
      <c r="H1016" s="4">
        <v>0</v>
      </c>
    </row>
    <row r="1017" spans="1:8" x14ac:dyDescent="0.2">
      <c r="A1017" s="2" t="s">
        <v>80</v>
      </c>
      <c r="B1017" s="4">
        <v>74</v>
      </c>
      <c r="C1017" s="5">
        <v>25.08</v>
      </c>
      <c r="D1017" s="4">
        <v>57</v>
      </c>
      <c r="E1017" s="5">
        <v>30.81</v>
      </c>
      <c r="F1017" s="4">
        <v>17</v>
      </c>
      <c r="G1017" s="5">
        <v>16.04</v>
      </c>
      <c r="H1017" s="4">
        <v>0</v>
      </c>
    </row>
    <row r="1018" spans="1:8" x14ac:dyDescent="0.2">
      <c r="A1018" s="2" t="s">
        <v>81</v>
      </c>
      <c r="B1018" s="4">
        <v>1</v>
      </c>
      <c r="C1018" s="5">
        <v>0.34</v>
      </c>
      <c r="D1018" s="4">
        <v>0</v>
      </c>
      <c r="E1018" s="5">
        <v>0</v>
      </c>
      <c r="F1018" s="4">
        <v>1</v>
      </c>
      <c r="G1018" s="5">
        <v>0.94</v>
      </c>
      <c r="H1018" s="4">
        <v>0</v>
      </c>
    </row>
    <row r="1019" spans="1:8" x14ac:dyDescent="0.2">
      <c r="A1019" s="2" t="s">
        <v>82</v>
      </c>
      <c r="B1019" s="4">
        <v>9</v>
      </c>
      <c r="C1019" s="5">
        <v>3.05</v>
      </c>
      <c r="D1019" s="4">
        <v>2</v>
      </c>
      <c r="E1019" s="5">
        <v>1.08</v>
      </c>
      <c r="F1019" s="4">
        <v>7</v>
      </c>
      <c r="G1019" s="5">
        <v>6.6</v>
      </c>
      <c r="H1019" s="4">
        <v>0</v>
      </c>
    </row>
    <row r="1020" spans="1:8" x14ac:dyDescent="0.2">
      <c r="A1020" s="2" t="s">
        <v>83</v>
      </c>
      <c r="B1020" s="4">
        <v>10</v>
      </c>
      <c r="C1020" s="5">
        <v>3.39</v>
      </c>
      <c r="D1020" s="4">
        <v>5</v>
      </c>
      <c r="E1020" s="5">
        <v>2.7</v>
      </c>
      <c r="F1020" s="4">
        <v>5</v>
      </c>
      <c r="G1020" s="5">
        <v>4.72</v>
      </c>
      <c r="H1020" s="4">
        <v>0</v>
      </c>
    </row>
    <row r="1021" spans="1:8" x14ac:dyDescent="0.2">
      <c r="A1021" s="2" t="s">
        <v>84</v>
      </c>
      <c r="B1021" s="4">
        <v>41</v>
      </c>
      <c r="C1021" s="5">
        <v>13.9</v>
      </c>
      <c r="D1021" s="4">
        <v>33</v>
      </c>
      <c r="E1021" s="5">
        <v>17.84</v>
      </c>
      <c r="F1021" s="4">
        <v>8</v>
      </c>
      <c r="G1021" s="5">
        <v>7.55</v>
      </c>
      <c r="H1021" s="4">
        <v>0</v>
      </c>
    </row>
    <row r="1022" spans="1:8" x14ac:dyDescent="0.2">
      <c r="A1022" s="2" t="s">
        <v>85</v>
      </c>
      <c r="B1022" s="4">
        <v>33</v>
      </c>
      <c r="C1022" s="5">
        <v>11.19</v>
      </c>
      <c r="D1022" s="4">
        <v>28</v>
      </c>
      <c r="E1022" s="5">
        <v>15.14</v>
      </c>
      <c r="F1022" s="4">
        <v>5</v>
      </c>
      <c r="G1022" s="5">
        <v>4.72</v>
      </c>
      <c r="H1022" s="4">
        <v>0</v>
      </c>
    </row>
    <row r="1023" spans="1:8" x14ac:dyDescent="0.2">
      <c r="A1023" s="2" t="s">
        <v>86</v>
      </c>
      <c r="B1023" s="4">
        <v>7</v>
      </c>
      <c r="C1023" s="5">
        <v>2.37</v>
      </c>
      <c r="D1023" s="4">
        <v>5</v>
      </c>
      <c r="E1023" s="5">
        <v>2.7</v>
      </c>
      <c r="F1023" s="4">
        <v>1</v>
      </c>
      <c r="G1023" s="5">
        <v>0.94</v>
      </c>
      <c r="H1023" s="4">
        <v>0</v>
      </c>
    </row>
    <row r="1024" spans="1:8" x14ac:dyDescent="0.2">
      <c r="A1024" s="2" t="s">
        <v>87</v>
      </c>
      <c r="B1024" s="4">
        <v>9</v>
      </c>
      <c r="C1024" s="5">
        <v>3.05</v>
      </c>
      <c r="D1024" s="4">
        <v>5</v>
      </c>
      <c r="E1024" s="5">
        <v>2.7</v>
      </c>
      <c r="F1024" s="4">
        <v>4</v>
      </c>
      <c r="G1024" s="5">
        <v>3.77</v>
      </c>
      <c r="H1024" s="4">
        <v>0</v>
      </c>
    </row>
    <row r="1025" spans="1:8" x14ac:dyDescent="0.2">
      <c r="A1025" s="2" t="s">
        <v>88</v>
      </c>
      <c r="B1025" s="4">
        <v>16</v>
      </c>
      <c r="C1025" s="5">
        <v>5.42</v>
      </c>
      <c r="D1025" s="4">
        <v>10</v>
      </c>
      <c r="E1025" s="5">
        <v>5.41</v>
      </c>
      <c r="F1025" s="4">
        <v>4</v>
      </c>
      <c r="G1025" s="5">
        <v>3.77</v>
      </c>
      <c r="H1025" s="4">
        <v>0</v>
      </c>
    </row>
    <row r="1026" spans="1:8" x14ac:dyDescent="0.2">
      <c r="A1026" s="1" t="s">
        <v>64</v>
      </c>
      <c r="B1026" s="4">
        <v>260</v>
      </c>
      <c r="C1026" s="5">
        <v>99.999999999999986</v>
      </c>
      <c r="D1026" s="4">
        <v>172</v>
      </c>
      <c r="E1026" s="5">
        <v>100.00999999999999</v>
      </c>
      <c r="F1026" s="4">
        <v>85</v>
      </c>
      <c r="G1026" s="5">
        <v>100</v>
      </c>
      <c r="H1026" s="4">
        <v>0</v>
      </c>
    </row>
    <row r="1027" spans="1:8" x14ac:dyDescent="0.2">
      <c r="A1027" s="2" t="s">
        <v>74</v>
      </c>
      <c r="B1027" s="4">
        <v>0</v>
      </c>
      <c r="C1027" s="5">
        <v>0</v>
      </c>
      <c r="D1027" s="4">
        <v>0</v>
      </c>
      <c r="E1027" s="5">
        <v>0</v>
      </c>
      <c r="F1027" s="4">
        <v>0</v>
      </c>
      <c r="G1027" s="5">
        <v>0</v>
      </c>
      <c r="H1027" s="4">
        <v>0</v>
      </c>
    </row>
    <row r="1028" spans="1:8" x14ac:dyDescent="0.2">
      <c r="A1028" s="2" t="s">
        <v>75</v>
      </c>
      <c r="B1028" s="4">
        <v>32</v>
      </c>
      <c r="C1028" s="5">
        <v>12.31</v>
      </c>
      <c r="D1028" s="4">
        <v>19</v>
      </c>
      <c r="E1028" s="5">
        <v>11.05</v>
      </c>
      <c r="F1028" s="4">
        <v>13</v>
      </c>
      <c r="G1028" s="5">
        <v>15.29</v>
      </c>
      <c r="H1028" s="4">
        <v>0</v>
      </c>
    </row>
    <row r="1029" spans="1:8" x14ac:dyDescent="0.2">
      <c r="A1029" s="2" t="s">
        <v>76</v>
      </c>
      <c r="B1029" s="4">
        <v>37</v>
      </c>
      <c r="C1029" s="5">
        <v>14.23</v>
      </c>
      <c r="D1029" s="4">
        <v>12</v>
      </c>
      <c r="E1029" s="5">
        <v>6.98</v>
      </c>
      <c r="F1029" s="4">
        <v>25</v>
      </c>
      <c r="G1029" s="5">
        <v>29.41</v>
      </c>
      <c r="H1029" s="4">
        <v>0</v>
      </c>
    </row>
    <row r="1030" spans="1:8" x14ac:dyDescent="0.2">
      <c r="A1030" s="2" t="s">
        <v>77</v>
      </c>
      <c r="B1030" s="4">
        <v>1</v>
      </c>
      <c r="C1030" s="5">
        <v>0.38</v>
      </c>
      <c r="D1030" s="4">
        <v>0</v>
      </c>
      <c r="E1030" s="5">
        <v>0</v>
      </c>
      <c r="F1030" s="4">
        <v>1</v>
      </c>
      <c r="G1030" s="5">
        <v>1.18</v>
      </c>
      <c r="H1030" s="4">
        <v>0</v>
      </c>
    </row>
    <row r="1031" spans="1:8" x14ac:dyDescent="0.2">
      <c r="A1031" s="2" t="s">
        <v>78</v>
      </c>
      <c r="B1031" s="4">
        <v>2</v>
      </c>
      <c r="C1031" s="5">
        <v>0.77</v>
      </c>
      <c r="D1031" s="4">
        <v>0</v>
      </c>
      <c r="E1031" s="5">
        <v>0</v>
      </c>
      <c r="F1031" s="4">
        <v>2</v>
      </c>
      <c r="G1031" s="5">
        <v>2.35</v>
      </c>
      <c r="H1031" s="4">
        <v>0</v>
      </c>
    </row>
    <row r="1032" spans="1:8" x14ac:dyDescent="0.2">
      <c r="A1032" s="2" t="s">
        <v>79</v>
      </c>
      <c r="B1032" s="4">
        <v>4</v>
      </c>
      <c r="C1032" s="5">
        <v>1.54</v>
      </c>
      <c r="D1032" s="4">
        <v>1</v>
      </c>
      <c r="E1032" s="5">
        <v>0.57999999999999996</v>
      </c>
      <c r="F1032" s="4">
        <v>3</v>
      </c>
      <c r="G1032" s="5">
        <v>3.53</v>
      </c>
      <c r="H1032" s="4">
        <v>0</v>
      </c>
    </row>
    <row r="1033" spans="1:8" x14ac:dyDescent="0.2">
      <c r="A1033" s="2" t="s">
        <v>80</v>
      </c>
      <c r="B1033" s="4">
        <v>51</v>
      </c>
      <c r="C1033" s="5">
        <v>19.62</v>
      </c>
      <c r="D1033" s="4">
        <v>37</v>
      </c>
      <c r="E1033" s="5">
        <v>21.51</v>
      </c>
      <c r="F1033" s="4">
        <v>14</v>
      </c>
      <c r="G1033" s="5">
        <v>16.47</v>
      </c>
      <c r="H1033" s="4">
        <v>0</v>
      </c>
    </row>
    <row r="1034" spans="1:8" x14ac:dyDescent="0.2">
      <c r="A1034" s="2" t="s">
        <v>81</v>
      </c>
      <c r="B1034" s="4">
        <v>1</v>
      </c>
      <c r="C1034" s="5">
        <v>0.38</v>
      </c>
      <c r="D1034" s="4">
        <v>1</v>
      </c>
      <c r="E1034" s="5">
        <v>0.57999999999999996</v>
      </c>
      <c r="F1034" s="4">
        <v>0</v>
      </c>
      <c r="G1034" s="5">
        <v>0</v>
      </c>
      <c r="H1034" s="4">
        <v>0</v>
      </c>
    </row>
    <row r="1035" spans="1:8" x14ac:dyDescent="0.2">
      <c r="A1035" s="2" t="s">
        <v>82</v>
      </c>
      <c r="B1035" s="4">
        <v>17</v>
      </c>
      <c r="C1035" s="5">
        <v>6.54</v>
      </c>
      <c r="D1035" s="4">
        <v>12</v>
      </c>
      <c r="E1035" s="5">
        <v>6.98</v>
      </c>
      <c r="F1035" s="4">
        <v>5</v>
      </c>
      <c r="G1035" s="5">
        <v>5.88</v>
      </c>
      <c r="H1035" s="4">
        <v>0</v>
      </c>
    </row>
    <row r="1036" spans="1:8" x14ac:dyDescent="0.2">
      <c r="A1036" s="2" t="s">
        <v>83</v>
      </c>
      <c r="B1036" s="4">
        <v>9</v>
      </c>
      <c r="C1036" s="5">
        <v>3.46</v>
      </c>
      <c r="D1036" s="4">
        <v>6</v>
      </c>
      <c r="E1036" s="5">
        <v>3.49</v>
      </c>
      <c r="F1036" s="4">
        <v>3</v>
      </c>
      <c r="G1036" s="5">
        <v>3.53</v>
      </c>
      <c r="H1036" s="4">
        <v>0</v>
      </c>
    </row>
    <row r="1037" spans="1:8" x14ac:dyDescent="0.2">
      <c r="A1037" s="2" t="s">
        <v>84</v>
      </c>
      <c r="B1037" s="4">
        <v>50</v>
      </c>
      <c r="C1037" s="5">
        <v>19.23</v>
      </c>
      <c r="D1037" s="4">
        <v>42</v>
      </c>
      <c r="E1037" s="5">
        <v>24.42</v>
      </c>
      <c r="F1037" s="4">
        <v>8</v>
      </c>
      <c r="G1037" s="5">
        <v>9.41</v>
      </c>
      <c r="H1037" s="4">
        <v>0</v>
      </c>
    </row>
    <row r="1038" spans="1:8" x14ac:dyDescent="0.2">
      <c r="A1038" s="2" t="s">
        <v>85</v>
      </c>
      <c r="B1038" s="4">
        <v>31</v>
      </c>
      <c r="C1038" s="5">
        <v>11.92</v>
      </c>
      <c r="D1038" s="4">
        <v>28</v>
      </c>
      <c r="E1038" s="5">
        <v>16.28</v>
      </c>
      <c r="F1038" s="4">
        <v>3</v>
      </c>
      <c r="G1038" s="5">
        <v>3.53</v>
      </c>
      <c r="H1038" s="4">
        <v>0</v>
      </c>
    </row>
    <row r="1039" spans="1:8" x14ac:dyDescent="0.2">
      <c r="A1039" s="2" t="s">
        <v>86</v>
      </c>
      <c r="B1039" s="4">
        <v>8</v>
      </c>
      <c r="C1039" s="5">
        <v>3.08</v>
      </c>
      <c r="D1039" s="4">
        <v>6</v>
      </c>
      <c r="E1039" s="5">
        <v>3.49</v>
      </c>
      <c r="F1039" s="4">
        <v>1</v>
      </c>
      <c r="G1039" s="5">
        <v>1.18</v>
      </c>
      <c r="H1039" s="4">
        <v>0</v>
      </c>
    </row>
    <row r="1040" spans="1:8" x14ac:dyDescent="0.2">
      <c r="A1040" s="2" t="s">
        <v>87</v>
      </c>
      <c r="B1040" s="4">
        <v>10</v>
      </c>
      <c r="C1040" s="5">
        <v>3.85</v>
      </c>
      <c r="D1040" s="4">
        <v>5</v>
      </c>
      <c r="E1040" s="5">
        <v>2.91</v>
      </c>
      <c r="F1040" s="4">
        <v>4</v>
      </c>
      <c r="G1040" s="5">
        <v>4.71</v>
      </c>
      <c r="H1040" s="4">
        <v>0</v>
      </c>
    </row>
    <row r="1041" spans="1:8" x14ac:dyDescent="0.2">
      <c r="A1041" s="2" t="s">
        <v>88</v>
      </c>
      <c r="B1041" s="4">
        <v>7</v>
      </c>
      <c r="C1041" s="5">
        <v>2.69</v>
      </c>
      <c r="D1041" s="4">
        <v>3</v>
      </c>
      <c r="E1041" s="5">
        <v>1.74</v>
      </c>
      <c r="F1041" s="4">
        <v>3</v>
      </c>
      <c r="G1041" s="5">
        <v>3.53</v>
      </c>
      <c r="H1041" s="4">
        <v>0</v>
      </c>
    </row>
    <row r="1042" spans="1:8" x14ac:dyDescent="0.2">
      <c r="A1042" s="1" t="s">
        <v>65</v>
      </c>
      <c r="B1042" s="4">
        <v>379</v>
      </c>
      <c r="C1042" s="5">
        <v>100.00000000000001</v>
      </c>
      <c r="D1042" s="4">
        <v>256</v>
      </c>
      <c r="E1042" s="5">
        <v>100</v>
      </c>
      <c r="F1042" s="4">
        <v>117</v>
      </c>
      <c r="G1042" s="5">
        <v>99.97999999999999</v>
      </c>
      <c r="H1042" s="4">
        <v>1</v>
      </c>
    </row>
    <row r="1043" spans="1:8" x14ac:dyDescent="0.2">
      <c r="A1043" s="2" t="s">
        <v>74</v>
      </c>
      <c r="B1043" s="4">
        <v>0</v>
      </c>
      <c r="C1043" s="5">
        <v>0</v>
      </c>
      <c r="D1043" s="4">
        <v>0</v>
      </c>
      <c r="E1043" s="5">
        <v>0</v>
      </c>
      <c r="F1043" s="4">
        <v>0</v>
      </c>
      <c r="G1043" s="5">
        <v>0</v>
      </c>
      <c r="H1043" s="4">
        <v>0</v>
      </c>
    </row>
    <row r="1044" spans="1:8" x14ac:dyDescent="0.2">
      <c r="A1044" s="2" t="s">
        <v>75</v>
      </c>
      <c r="B1044" s="4">
        <v>98</v>
      </c>
      <c r="C1044" s="5">
        <v>25.86</v>
      </c>
      <c r="D1044" s="4">
        <v>60</v>
      </c>
      <c r="E1044" s="5">
        <v>23.44</v>
      </c>
      <c r="F1044" s="4">
        <v>38</v>
      </c>
      <c r="G1044" s="5">
        <v>32.479999999999997</v>
      </c>
      <c r="H1044" s="4">
        <v>0</v>
      </c>
    </row>
    <row r="1045" spans="1:8" x14ac:dyDescent="0.2">
      <c r="A1045" s="2" t="s">
        <v>76</v>
      </c>
      <c r="B1045" s="4">
        <v>56</v>
      </c>
      <c r="C1045" s="5">
        <v>14.78</v>
      </c>
      <c r="D1045" s="4">
        <v>29</v>
      </c>
      <c r="E1045" s="5">
        <v>11.33</v>
      </c>
      <c r="F1045" s="4">
        <v>27</v>
      </c>
      <c r="G1045" s="5">
        <v>23.08</v>
      </c>
      <c r="H1045" s="4">
        <v>0</v>
      </c>
    </row>
    <row r="1046" spans="1:8" x14ac:dyDescent="0.2">
      <c r="A1046" s="2" t="s">
        <v>77</v>
      </c>
      <c r="B1046" s="4">
        <v>0</v>
      </c>
      <c r="C1046" s="5">
        <v>0</v>
      </c>
      <c r="D1046" s="4">
        <v>0</v>
      </c>
      <c r="E1046" s="5">
        <v>0</v>
      </c>
      <c r="F1046" s="4">
        <v>0</v>
      </c>
      <c r="G1046" s="5">
        <v>0</v>
      </c>
      <c r="H1046" s="4">
        <v>0</v>
      </c>
    </row>
    <row r="1047" spans="1:8" x14ac:dyDescent="0.2">
      <c r="A1047" s="2" t="s">
        <v>78</v>
      </c>
      <c r="B1047" s="4">
        <v>0</v>
      </c>
      <c r="C1047" s="5">
        <v>0</v>
      </c>
      <c r="D1047" s="4">
        <v>0</v>
      </c>
      <c r="E1047" s="5">
        <v>0</v>
      </c>
      <c r="F1047" s="4">
        <v>0</v>
      </c>
      <c r="G1047" s="5">
        <v>0</v>
      </c>
      <c r="H1047" s="4">
        <v>0</v>
      </c>
    </row>
    <row r="1048" spans="1:8" x14ac:dyDescent="0.2">
      <c r="A1048" s="2" t="s">
        <v>79</v>
      </c>
      <c r="B1048" s="4">
        <v>6</v>
      </c>
      <c r="C1048" s="5">
        <v>1.58</v>
      </c>
      <c r="D1048" s="4">
        <v>1</v>
      </c>
      <c r="E1048" s="5">
        <v>0.39</v>
      </c>
      <c r="F1048" s="4">
        <v>5</v>
      </c>
      <c r="G1048" s="5">
        <v>4.2699999999999996</v>
      </c>
      <c r="H1048" s="4">
        <v>0</v>
      </c>
    </row>
    <row r="1049" spans="1:8" x14ac:dyDescent="0.2">
      <c r="A1049" s="2" t="s">
        <v>80</v>
      </c>
      <c r="B1049" s="4">
        <v>79</v>
      </c>
      <c r="C1049" s="5">
        <v>20.84</v>
      </c>
      <c r="D1049" s="4">
        <v>52</v>
      </c>
      <c r="E1049" s="5">
        <v>20.309999999999999</v>
      </c>
      <c r="F1049" s="4">
        <v>26</v>
      </c>
      <c r="G1049" s="5">
        <v>22.22</v>
      </c>
      <c r="H1049" s="4">
        <v>1</v>
      </c>
    </row>
    <row r="1050" spans="1:8" x14ac:dyDescent="0.2">
      <c r="A1050" s="2" t="s">
        <v>81</v>
      </c>
      <c r="B1050" s="4">
        <v>2</v>
      </c>
      <c r="C1050" s="5">
        <v>0.53</v>
      </c>
      <c r="D1050" s="4">
        <v>0</v>
      </c>
      <c r="E1050" s="5">
        <v>0</v>
      </c>
      <c r="F1050" s="4">
        <v>2</v>
      </c>
      <c r="G1050" s="5">
        <v>1.71</v>
      </c>
      <c r="H1050" s="4">
        <v>0</v>
      </c>
    </row>
    <row r="1051" spans="1:8" x14ac:dyDescent="0.2">
      <c r="A1051" s="2" t="s">
        <v>82</v>
      </c>
      <c r="B1051" s="4">
        <v>4</v>
      </c>
      <c r="C1051" s="5">
        <v>1.06</v>
      </c>
      <c r="D1051" s="4">
        <v>1</v>
      </c>
      <c r="E1051" s="5">
        <v>0.39</v>
      </c>
      <c r="F1051" s="4">
        <v>3</v>
      </c>
      <c r="G1051" s="5">
        <v>2.56</v>
      </c>
      <c r="H1051" s="4">
        <v>0</v>
      </c>
    </row>
    <row r="1052" spans="1:8" x14ac:dyDescent="0.2">
      <c r="A1052" s="2" t="s">
        <v>83</v>
      </c>
      <c r="B1052" s="4">
        <v>14</v>
      </c>
      <c r="C1052" s="5">
        <v>3.69</v>
      </c>
      <c r="D1052" s="4">
        <v>9</v>
      </c>
      <c r="E1052" s="5">
        <v>3.52</v>
      </c>
      <c r="F1052" s="4">
        <v>5</v>
      </c>
      <c r="G1052" s="5">
        <v>4.2699999999999996</v>
      </c>
      <c r="H1052" s="4">
        <v>0</v>
      </c>
    </row>
    <row r="1053" spans="1:8" x14ac:dyDescent="0.2">
      <c r="A1053" s="2" t="s">
        <v>84</v>
      </c>
      <c r="B1053" s="4">
        <v>49</v>
      </c>
      <c r="C1053" s="5">
        <v>12.93</v>
      </c>
      <c r="D1053" s="4">
        <v>46</v>
      </c>
      <c r="E1053" s="5">
        <v>17.97</v>
      </c>
      <c r="F1053" s="4">
        <v>3</v>
      </c>
      <c r="G1053" s="5">
        <v>2.56</v>
      </c>
      <c r="H1053" s="4">
        <v>0</v>
      </c>
    </row>
    <row r="1054" spans="1:8" x14ac:dyDescent="0.2">
      <c r="A1054" s="2" t="s">
        <v>85</v>
      </c>
      <c r="B1054" s="4">
        <v>42</v>
      </c>
      <c r="C1054" s="5">
        <v>11.08</v>
      </c>
      <c r="D1054" s="4">
        <v>38</v>
      </c>
      <c r="E1054" s="5">
        <v>14.84</v>
      </c>
      <c r="F1054" s="4">
        <v>3</v>
      </c>
      <c r="G1054" s="5">
        <v>2.56</v>
      </c>
      <c r="H1054" s="4">
        <v>0</v>
      </c>
    </row>
    <row r="1055" spans="1:8" x14ac:dyDescent="0.2">
      <c r="A1055" s="2" t="s">
        <v>86</v>
      </c>
      <c r="B1055" s="4">
        <v>6</v>
      </c>
      <c r="C1055" s="5">
        <v>1.58</v>
      </c>
      <c r="D1055" s="4">
        <v>4</v>
      </c>
      <c r="E1055" s="5">
        <v>1.56</v>
      </c>
      <c r="F1055" s="4">
        <v>0</v>
      </c>
      <c r="G1055" s="5">
        <v>0</v>
      </c>
      <c r="H1055" s="4">
        <v>0</v>
      </c>
    </row>
    <row r="1056" spans="1:8" x14ac:dyDescent="0.2">
      <c r="A1056" s="2" t="s">
        <v>87</v>
      </c>
      <c r="B1056" s="4">
        <v>12</v>
      </c>
      <c r="C1056" s="5">
        <v>3.17</v>
      </c>
      <c r="D1056" s="4">
        <v>7</v>
      </c>
      <c r="E1056" s="5">
        <v>2.73</v>
      </c>
      <c r="F1056" s="4">
        <v>4</v>
      </c>
      <c r="G1056" s="5">
        <v>3.42</v>
      </c>
      <c r="H1056" s="4">
        <v>0</v>
      </c>
    </row>
    <row r="1057" spans="1:8" x14ac:dyDescent="0.2">
      <c r="A1057" s="2" t="s">
        <v>88</v>
      </c>
      <c r="B1057" s="4">
        <v>11</v>
      </c>
      <c r="C1057" s="5">
        <v>2.9</v>
      </c>
      <c r="D1057" s="4">
        <v>9</v>
      </c>
      <c r="E1057" s="5">
        <v>3.52</v>
      </c>
      <c r="F1057" s="4">
        <v>1</v>
      </c>
      <c r="G1057" s="5">
        <v>0.85</v>
      </c>
      <c r="H1057" s="4">
        <v>0</v>
      </c>
    </row>
    <row r="1058" spans="1:8" x14ac:dyDescent="0.2">
      <c r="A1058" s="1" t="s">
        <v>66</v>
      </c>
      <c r="B1058" s="4">
        <v>100</v>
      </c>
      <c r="C1058" s="5">
        <v>100</v>
      </c>
      <c r="D1058" s="4">
        <v>70</v>
      </c>
      <c r="E1058" s="5">
        <v>100.02000000000004</v>
      </c>
      <c r="F1058" s="4">
        <v>23</v>
      </c>
      <c r="G1058" s="5">
        <v>100.00999999999999</v>
      </c>
      <c r="H1058" s="4">
        <v>0</v>
      </c>
    </row>
    <row r="1059" spans="1:8" x14ac:dyDescent="0.2">
      <c r="A1059" s="2" t="s">
        <v>74</v>
      </c>
      <c r="B1059" s="4">
        <v>0</v>
      </c>
      <c r="C1059" s="5">
        <v>0</v>
      </c>
      <c r="D1059" s="4">
        <v>0</v>
      </c>
      <c r="E1059" s="5">
        <v>0</v>
      </c>
      <c r="F1059" s="4">
        <v>0</v>
      </c>
      <c r="G1059" s="5">
        <v>0</v>
      </c>
      <c r="H1059" s="4">
        <v>0</v>
      </c>
    </row>
    <row r="1060" spans="1:8" x14ac:dyDescent="0.2">
      <c r="A1060" s="2" t="s">
        <v>75</v>
      </c>
      <c r="B1060" s="4">
        <v>23</v>
      </c>
      <c r="C1060" s="5">
        <v>23</v>
      </c>
      <c r="D1060" s="4">
        <v>17</v>
      </c>
      <c r="E1060" s="5">
        <v>24.29</v>
      </c>
      <c r="F1060" s="4">
        <v>6</v>
      </c>
      <c r="G1060" s="5">
        <v>26.09</v>
      </c>
      <c r="H1060" s="4">
        <v>0</v>
      </c>
    </row>
    <row r="1061" spans="1:8" x14ac:dyDescent="0.2">
      <c r="A1061" s="2" t="s">
        <v>76</v>
      </c>
      <c r="B1061" s="4">
        <v>25</v>
      </c>
      <c r="C1061" s="5">
        <v>25</v>
      </c>
      <c r="D1061" s="4">
        <v>16</v>
      </c>
      <c r="E1061" s="5">
        <v>22.86</v>
      </c>
      <c r="F1061" s="4">
        <v>9</v>
      </c>
      <c r="G1061" s="5">
        <v>39.130000000000003</v>
      </c>
      <c r="H1061" s="4">
        <v>0</v>
      </c>
    </row>
    <row r="1062" spans="1:8" x14ac:dyDescent="0.2">
      <c r="A1062" s="2" t="s">
        <v>77</v>
      </c>
      <c r="B1062" s="4">
        <v>1</v>
      </c>
      <c r="C1062" s="5">
        <v>1</v>
      </c>
      <c r="D1062" s="4">
        <v>0</v>
      </c>
      <c r="E1062" s="5">
        <v>0</v>
      </c>
      <c r="F1062" s="4">
        <v>0</v>
      </c>
      <c r="G1062" s="5">
        <v>0</v>
      </c>
      <c r="H1062" s="4">
        <v>0</v>
      </c>
    </row>
    <row r="1063" spans="1:8" x14ac:dyDescent="0.2">
      <c r="A1063" s="2" t="s">
        <v>78</v>
      </c>
      <c r="B1063" s="4">
        <v>1</v>
      </c>
      <c r="C1063" s="5">
        <v>1</v>
      </c>
      <c r="D1063" s="4">
        <v>1</v>
      </c>
      <c r="E1063" s="5">
        <v>1.43</v>
      </c>
      <c r="F1063" s="4">
        <v>0</v>
      </c>
      <c r="G1063" s="5">
        <v>0</v>
      </c>
      <c r="H1063" s="4">
        <v>0</v>
      </c>
    </row>
    <row r="1064" spans="1:8" x14ac:dyDescent="0.2">
      <c r="A1064" s="2" t="s">
        <v>79</v>
      </c>
      <c r="B1064" s="4">
        <v>2</v>
      </c>
      <c r="C1064" s="5">
        <v>2</v>
      </c>
      <c r="D1064" s="4">
        <v>0</v>
      </c>
      <c r="E1064" s="5">
        <v>0</v>
      </c>
      <c r="F1064" s="4">
        <v>1</v>
      </c>
      <c r="G1064" s="5">
        <v>4.3499999999999996</v>
      </c>
      <c r="H1064" s="4">
        <v>0</v>
      </c>
    </row>
    <row r="1065" spans="1:8" x14ac:dyDescent="0.2">
      <c r="A1065" s="2" t="s">
        <v>80</v>
      </c>
      <c r="B1065" s="4">
        <v>15</v>
      </c>
      <c r="C1065" s="5">
        <v>15</v>
      </c>
      <c r="D1065" s="4">
        <v>13</v>
      </c>
      <c r="E1065" s="5">
        <v>18.57</v>
      </c>
      <c r="F1065" s="4">
        <v>2</v>
      </c>
      <c r="G1065" s="5">
        <v>8.6999999999999993</v>
      </c>
      <c r="H1065" s="4">
        <v>0</v>
      </c>
    </row>
    <row r="1066" spans="1:8" x14ac:dyDescent="0.2">
      <c r="A1066" s="2" t="s">
        <v>81</v>
      </c>
      <c r="B1066" s="4">
        <v>0</v>
      </c>
      <c r="C1066" s="5">
        <v>0</v>
      </c>
      <c r="D1066" s="4">
        <v>0</v>
      </c>
      <c r="E1066" s="5">
        <v>0</v>
      </c>
      <c r="F1066" s="4">
        <v>0</v>
      </c>
      <c r="G1066" s="5">
        <v>0</v>
      </c>
      <c r="H1066" s="4">
        <v>0</v>
      </c>
    </row>
    <row r="1067" spans="1:8" x14ac:dyDescent="0.2">
      <c r="A1067" s="2" t="s">
        <v>82</v>
      </c>
      <c r="B1067" s="4">
        <v>0</v>
      </c>
      <c r="C1067" s="5">
        <v>0</v>
      </c>
      <c r="D1067" s="4">
        <v>0</v>
      </c>
      <c r="E1067" s="5">
        <v>0</v>
      </c>
      <c r="F1067" s="4">
        <v>0</v>
      </c>
      <c r="G1067" s="5">
        <v>0</v>
      </c>
      <c r="H1067" s="4">
        <v>0</v>
      </c>
    </row>
    <row r="1068" spans="1:8" x14ac:dyDescent="0.2">
      <c r="A1068" s="2" t="s">
        <v>83</v>
      </c>
      <c r="B1068" s="4">
        <v>4</v>
      </c>
      <c r="C1068" s="5">
        <v>4</v>
      </c>
      <c r="D1068" s="4">
        <v>1</v>
      </c>
      <c r="E1068" s="5">
        <v>1.43</v>
      </c>
      <c r="F1068" s="4">
        <v>3</v>
      </c>
      <c r="G1068" s="5">
        <v>13.04</v>
      </c>
      <c r="H1068" s="4">
        <v>0</v>
      </c>
    </row>
    <row r="1069" spans="1:8" x14ac:dyDescent="0.2">
      <c r="A1069" s="2" t="s">
        <v>84</v>
      </c>
      <c r="B1069" s="4">
        <v>8</v>
      </c>
      <c r="C1069" s="5">
        <v>8</v>
      </c>
      <c r="D1069" s="4">
        <v>8</v>
      </c>
      <c r="E1069" s="5">
        <v>11.43</v>
      </c>
      <c r="F1069" s="4">
        <v>0</v>
      </c>
      <c r="G1069" s="5">
        <v>0</v>
      </c>
      <c r="H1069" s="4">
        <v>0</v>
      </c>
    </row>
    <row r="1070" spans="1:8" x14ac:dyDescent="0.2">
      <c r="A1070" s="2" t="s">
        <v>85</v>
      </c>
      <c r="B1070" s="4">
        <v>8</v>
      </c>
      <c r="C1070" s="5">
        <v>8</v>
      </c>
      <c r="D1070" s="4">
        <v>8</v>
      </c>
      <c r="E1070" s="5">
        <v>11.43</v>
      </c>
      <c r="F1070" s="4">
        <v>0</v>
      </c>
      <c r="G1070" s="5">
        <v>0</v>
      </c>
      <c r="H1070" s="4">
        <v>0</v>
      </c>
    </row>
    <row r="1071" spans="1:8" x14ac:dyDescent="0.2">
      <c r="A1071" s="2" t="s">
        <v>86</v>
      </c>
      <c r="B1071" s="4">
        <v>2</v>
      </c>
      <c r="C1071" s="5">
        <v>2</v>
      </c>
      <c r="D1071" s="4">
        <v>1</v>
      </c>
      <c r="E1071" s="5">
        <v>1.43</v>
      </c>
      <c r="F1071" s="4">
        <v>0</v>
      </c>
      <c r="G1071" s="5">
        <v>0</v>
      </c>
      <c r="H1071" s="4">
        <v>0</v>
      </c>
    </row>
    <row r="1072" spans="1:8" x14ac:dyDescent="0.2">
      <c r="A1072" s="2" t="s">
        <v>87</v>
      </c>
      <c r="B1072" s="4">
        <v>6</v>
      </c>
      <c r="C1072" s="5">
        <v>6</v>
      </c>
      <c r="D1072" s="4">
        <v>2</v>
      </c>
      <c r="E1072" s="5">
        <v>2.86</v>
      </c>
      <c r="F1072" s="4">
        <v>1</v>
      </c>
      <c r="G1072" s="5">
        <v>4.3499999999999996</v>
      </c>
      <c r="H1072" s="4">
        <v>0</v>
      </c>
    </row>
    <row r="1073" spans="1:8" x14ac:dyDescent="0.2">
      <c r="A1073" s="2" t="s">
        <v>88</v>
      </c>
      <c r="B1073" s="4">
        <v>5</v>
      </c>
      <c r="C1073" s="5">
        <v>5</v>
      </c>
      <c r="D1073" s="4">
        <v>3</v>
      </c>
      <c r="E1073" s="5">
        <v>4.29</v>
      </c>
      <c r="F1073" s="4">
        <v>1</v>
      </c>
      <c r="G1073" s="5">
        <v>4.3499999999999996</v>
      </c>
      <c r="H1073" s="4">
        <v>0</v>
      </c>
    </row>
    <row r="1074" spans="1:8" x14ac:dyDescent="0.2">
      <c r="A1074" s="1" t="s">
        <v>67</v>
      </c>
      <c r="B1074" s="4">
        <v>235</v>
      </c>
      <c r="C1074" s="5">
        <v>100.02</v>
      </c>
      <c r="D1074" s="4">
        <v>122</v>
      </c>
      <c r="E1074" s="5">
        <v>100.00000000000001</v>
      </c>
      <c r="F1074" s="4">
        <v>110</v>
      </c>
      <c r="G1074" s="5">
        <v>99.989999999999981</v>
      </c>
      <c r="H1074" s="4">
        <v>0</v>
      </c>
    </row>
    <row r="1075" spans="1:8" x14ac:dyDescent="0.2">
      <c r="A1075" s="2" t="s">
        <v>74</v>
      </c>
      <c r="B1075" s="4">
        <v>0</v>
      </c>
      <c r="C1075" s="5">
        <v>0</v>
      </c>
      <c r="D1075" s="4">
        <v>0</v>
      </c>
      <c r="E1075" s="5">
        <v>0</v>
      </c>
      <c r="F1075" s="4">
        <v>0</v>
      </c>
      <c r="G1075" s="5">
        <v>0</v>
      </c>
      <c r="H1075" s="4">
        <v>0</v>
      </c>
    </row>
    <row r="1076" spans="1:8" x14ac:dyDescent="0.2">
      <c r="A1076" s="2" t="s">
        <v>75</v>
      </c>
      <c r="B1076" s="4">
        <v>52</v>
      </c>
      <c r="C1076" s="5">
        <v>22.13</v>
      </c>
      <c r="D1076" s="4">
        <v>23</v>
      </c>
      <c r="E1076" s="5">
        <v>18.850000000000001</v>
      </c>
      <c r="F1076" s="4">
        <v>29</v>
      </c>
      <c r="G1076" s="5">
        <v>26.36</v>
      </c>
      <c r="H1076" s="4">
        <v>0</v>
      </c>
    </row>
    <row r="1077" spans="1:8" x14ac:dyDescent="0.2">
      <c r="A1077" s="2" t="s">
        <v>76</v>
      </c>
      <c r="B1077" s="4">
        <v>40</v>
      </c>
      <c r="C1077" s="5">
        <v>17.02</v>
      </c>
      <c r="D1077" s="4">
        <v>11</v>
      </c>
      <c r="E1077" s="5">
        <v>9.02</v>
      </c>
      <c r="F1077" s="4">
        <v>29</v>
      </c>
      <c r="G1077" s="5">
        <v>26.36</v>
      </c>
      <c r="H1077" s="4">
        <v>0</v>
      </c>
    </row>
    <row r="1078" spans="1:8" x14ac:dyDescent="0.2">
      <c r="A1078" s="2" t="s">
        <v>77</v>
      </c>
      <c r="B1078" s="4">
        <v>1</v>
      </c>
      <c r="C1078" s="5">
        <v>0.43</v>
      </c>
      <c r="D1078" s="4">
        <v>0</v>
      </c>
      <c r="E1078" s="5">
        <v>0</v>
      </c>
      <c r="F1078" s="4">
        <v>0</v>
      </c>
      <c r="G1078" s="5">
        <v>0</v>
      </c>
      <c r="H1078" s="4">
        <v>0</v>
      </c>
    </row>
    <row r="1079" spans="1:8" x14ac:dyDescent="0.2">
      <c r="A1079" s="2" t="s">
        <v>78</v>
      </c>
      <c r="B1079" s="4">
        <v>1</v>
      </c>
      <c r="C1079" s="5">
        <v>0.43</v>
      </c>
      <c r="D1079" s="4">
        <v>0</v>
      </c>
      <c r="E1079" s="5">
        <v>0</v>
      </c>
      <c r="F1079" s="4">
        <v>1</v>
      </c>
      <c r="G1079" s="5">
        <v>0.91</v>
      </c>
      <c r="H1079" s="4">
        <v>0</v>
      </c>
    </row>
    <row r="1080" spans="1:8" x14ac:dyDescent="0.2">
      <c r="A1080" s="2" t="s">
        <v>79</v>
      </c>
      <c r="B1080" s="4">
        <v>7</v>
      </c>
      <c r="C1080" s="5">
        <v>2.98</v>
      </c>
      <c r="D1080" s="4">
        <v>0</v>
      </c>
      <c r="E1080" s="5">
        <v>0</v>
      </c>
      <c r="F1080" s="4">
        <v>7</v>
      </c>
      <c r="G1080" s="5">
        <v>6.36</v>
      </c>
      <c r="H1080" s="4">
        <v>0</v>
      </c>
    </row>
    <row r="1081" spans="1:8" x14ac:dyDescent="0.2">
      <c r="A1081" s="2" t="s">
        <v>80</v>
      </c>
      <c r="B1081" s="4">
        <v>41</v>
      </c>
      <c r="C1081" s="5">
        <v>17.45</v>
      </c>
      <c r="D1081" s="4">
        <v>22</v>
      </c>
      <c r="E1081" s="5">
        <v>18.03</v>
      </c>
      <c r="F1081" s="4">
        <v>19</v>
      </c>
      <c r="G1081" s="5">
        <v>17.27</v>
      </c>
      <c r="H1081" s="4">
        <v>0</v>
      </c>
    </row>
    <row r="1082" spans="1:8" x14ac:dyDescent="0.2">
      <c r="A1082" s="2" t="s">
        <v>81</v>
      </c>
      <c r="B1082" s="4">
        <v>2</v>
      </c>
      <c r="C1082" s="5">
        <v>0.85</v>
      </c>
      <c r="D1082" s="4">
        <v>1</v>
      </c>
      <c r="E1082" s="5">
        <v>0.82</v>
      </c>
      <c r="F1082" s="4">
        <v>1</v>
      </c>
      <c r="G1082" s="5">
        <v>0.91</v>
      </c>
      <c r="H1082" s="4">
        <v>0</v>
      </c>
    </row>
    <row r="1083" spans="1:8" x14ac:dyDescent="0.2">
      <c r="A1083" s="2" t="s">
        <v>82</v>
      </c>
      <c r="B1083" s="4">
        <v>3</v>
      </c>
      <c r="C1083" s="5">
        <v>1.28</v>
      </c>
      <c r="D1083" s="4">
        <v>1</v>
      </c>
      <c r="E1083" s="5">
        <v>0.82</v>
      </c>
      <c r="F1083" s="4">
        <v>2</v>
      </c>
      <c r="G1083" s="5">
        <v>1.82</v>
      </c>
      <c r="H1083" s="4">
        <v>0</v>
      </c>
    </row>
    <row r="1084" spans="1:8" x14ac:dyDescent="0.2">
      <c r="A1084" s="2" t="s">
        <v>83</v>
      </c>
      <c r="B1084" s="4">
        <v>5</v>
      </c>
      <c r="C1084" s="5">
        <v>2.13</v>
      </c>
      <c r="D1084" s="4">
        <v>2</v>
      </c>
      <c r="E1084" s="5">
        <v>1.64</v>
      </c>
      <c r="F1084" s="4">
        <v>3</v>
      </c>
      <c r="G1084" s="5">
        <v>2.73</v>
      </c>
      <c r="H1084" s="4">
        <v>0</v>
      </c>
    </row>
    <row r="1085" spans="1:8" x14ac:dyDescent="0.2">
      <c r="A1085" s="2" t="s">
        <v>84</v>
      </c>
      <c r="B1085" s="4">
        <v>21</v>
      </c>
      <c r="C1085" s="5">
        <v>8.94</v>
      </c>
      <c r="D1085" s="4">
        <v>20</v>
      </c>
      <c r="E1085" s="5">
        <v>16.39</v>
      </c>
      <c r="F1085" s="4">
        <v>1</v>
      </c>
      <c r="G1085" s="5">
        <v>0.91</v>
      </c>
      <c r="H1085" s="4">
        <v>0</v>
      </c>
    </row>
    <row r="1086" spans="1:8" x14ac:dyDescent="0.2">
      <c r="A1086" s="2" t="s">
        <v>85</v>
      </c>
      <c r="B1086" s="4">
        <v>26</v>
      </c>
      <c r="C1086" s="5">
        <v>11.06</v>
      </c>
      <c r="D1086" s="4">
        <v>20</v>
      </c>
      <c r="E1086" s="5">
        <v>16.39</v>
      </c>
      <c r="F1086" s="4">
        <v>6</v>
      </c>
      <c r="G1086" s="5">
        <v>5.45</v>
      </c>
      <c r="H1086" s="4">
        <v>0</v>
      </c>
    </row>
    <row r="1087" spans="1:8" x14ac:dyDescent="0.2">
      <c r="A1087" s="2" t="s">
        <v>86</v>
      </c>
      <c r="B1087" s="4">
        <v>3</v>
      </c>
      <c r="C1087" s="5">
        <v>1.28</v>
      </c>
      <c r="D1087" s="4">
        <v>2</v>
      </c>
      <c r="E1087" s="5">
        <v>1.64</v>
      </c>
      <c r="F1087" s="4">
        <v>0</v>
      </c>
      <c r="G1087" s="5">
        <v>0</v>
      </c>
      <c r="H1087" s="4">
        <v>0</v>
      </c>
    </row>
    <row r="1088" spans="1:8" x14ac:dyDescent="0.2">
      <c r="A1088" s="2" t="s">
        <v>87</v>
      </c>
      <c r="B1088" s="4">
        <v>18</v>
      </c>
      <c r="C1088" s="5">
        <v>7.66</v>
      </c>
      <c r="D1088" s="4">
        <v>10</v>
      </c>
      <c r="E1088" s="5">
        <v>8.1999999999999993</v>
      </c>
      <c r="F1088" s="4">
        <v>7</v>
      </c>
      <c r="G1088" s="5">
        <v>6.36</v>
      </c>
      <c r="H1088" s="4">
        <v>0</v>
      </c>
    </row>
    <row r="1089" spans="1:8" x14ac:dyDescent="0.2">
      <c r="A1089" s="2" t="s">
        <v>88</v>
      </c>
      <c r="B1089" s="4">
        <v>15</v>
      </c>
      <c r="C1089" s="5">
        <v>6.38</v>
      </c>
      <c r="D1089" s="4">
        <v>10</v>
      </c>
      <c r="E1089" s="5">
        <v>8.1999999999999993</v>
      </c>
      <c r="F1089" s="4">
        <v>5</v>
      </c>
      <c r="G1089" s="5">
        <v>4.55</v>
      </c>
      <c r="H1089" s="4">
        <v>0</v>
      </c>
    </row>
    <row r="1090" spans="1:8" x14ac:dyDescent="0.2">
      <c r="A1090" s="1" t="s">
        <v>68</v>
      </c>
      <c r="B1090" s="4">
        <v>250</v>
      </c>
      <c r="C1090" s="5">
        <v>100</v>
      </c>
      <c r="D1090" s="4">
        <v>137</v>
      </c>
      <c r="E1090" s="5">
        <v>100.00999999999999</v>
      </c>
      <c r="F1090" s="4">
        <v>110</v>
      </c>
      <c r="G1090" s="5">
        <v>100.01</v>
      </c>
      <c r="H1090" s="4">
        <v>0</v>
      </c>
    </row>
    <row r="1091" spans="1:8" x14ac:dyDescent="0.2">
      <c r="A1091" s="2" t="s">
        <v>74</v>
      </c>
      <c r="B1091" s="4">
        <v>0</v>
      </c>
      <c r="C1091" s="5">
        <v>0</v>
      </c>
      <c r="D1091" s="4">
        <v>0</v>
      </c>
      <c r="E1091" s="5">
        <v>0</v>
      </c>
      <c r="F1091" s="4">
        <v>0</v>
      </c>
      <c r="G1091" s="5">
        <v>0</v>
      </c>
      <c r="H1091" s="4">
        <v>0</v>
      </c>
    </row>
    <row r="1092" spans="1:8" x14ac:dyDescent="0.2">
      <c r="A1092" s="2" t="s">
        <v>75</v>
      </c>
      <c r="B1092" s="4">
        <v>59</v>
      </c>
      <c r="C1092" s="5">
        <v>23.6</v>
      </c>
      <c r="D1092" s="4">
        <v>27</v>
      </c>
      <c r="E1092" s="5">
        <v>19.71</v>
      </c>
      <c r="F1092" s="4">
        <v>32</v>
      </c>
      <c r="G1092" s="5">
        <v>29.09</v>
      </c>
      <c r="H1092" s="4">
        <v>0</v>
      </c>
    </row>
    <row r="1093" spans="1:8" x14ac:dyDescent="0.2">
      <c r="A1093" s="2" t="s">
        <v>76</v>
      </c>
      <c r="B1093" s="4">
        <v>29</v>
      </c>
      <c r="C1093" s="5">
        <v>11.6</v>
      </c>
      <c r="D1093" s="4">
        <v>11</v>
      </c>
      <c r="E1093" s="5">
        <v>8.0299999999999994</v>
      </c>
      <c r="F1093" s="4">
        <v>18</v>
      </c>
      <c r="G1093" s="5">
        <v>16.36</v>
      </c>
      <c r="H1093" s="4">
        <v>0</v>
      </c>
    </row>
    <row r="1094" spans="1:8" x14ac:dyDescent="0.2">
      <c r="A1094" s="2" t="s">
        <v>77</v>
      </c>
      <c r="B1094" s="4">
        <v>6</v>
      </c>
      <c r="C1094" s="5">
        <v>2.4</v>
      </c>
      <c r="D1094" s="4">
        <v>0</v>
      </c>
      <c r="E1094" s="5">
        <v>0</v>
      </c>
      <c r="F1094" s="4">
        <v>6</v>
      </c>
      <c r="G1094" s="5">
        <v>5.45</v>
      </c>
      <c r="H1094" s="4">
        <v>0</v>
      </c>
    </row>
    <row r="1095" spans="1:8" x14ac:dyDescent="0.2">
      <c r="A1095" s="2" t="s">
        <v>78</v>
      </c>
      <c r="B1095" s="4">
        <v>0</v>
      </c>
      <c r="C1095" s="5">
        <v>0</v>
      </c>
      <c r="D1095" s="4">
        <v>0</v>
      </c>
      <c r="E1095" s="5">
        <v>0</v>
      </c>
      <c r="F1095" s="4">
        <v>0</v>
      </c>
      <c r="G1095" s="5">
        <v>0</v>
      </c>
      <c r="H1095" s="4">
        <v>0</v>
      </c>
    </row>
    <row r="1096" spans="1:8" x14ac:dyDescent="0.2">
      <c r="A1096" s="2" t="s">
        <v>79</v>
      </c>
      <c r="B1096" s="4">
        <v>5</v>
      </c>
      <c r="C1096" s="5">
        <v>2</v>
      </c>
      <c r="D1096" s="4">
        <v>2</v>
      </c>
      <c r="E1096" s="5">
        <v>1.46</v>
      </c>
      <c r="F1096" s="4">
        <v>3</v>
      </c>
      <c r="G1096" s="5">
        <v>2.73</v>
      </c>
      <c r="H1096" s="4">
        <v>0</v>
      </c>
    </row>
    <row r="1097" spans="1:8" x14ac:dyDescent="0.2">
      <c r="A1097" s="2" t="s">
        <v>80</v>
      </c>
      <c r="B1097" s="4">
        <v>46</v>
      </c>
      <c r="C1097" s="5">
        <v>18.399999999999999</v>
      </c>
      <c r="D1097" s="4">
        <v>20</v>
      </c>
      <c r="E1097" s="5">
        <v>14.6</v>
      </c>
      <c r="F1097" s="4">
        <v>26</v>
      </c>
      <c r="G1097" s="5">
        <v>23.64</v>
      </c>
      <c r="H1097" s="4">
        <v>0</v>
      </c>
    </row>
    <row r="1098" spans="1:8" x14ac:dyDescent="0.2">
      <c r="A1098" s="2" t="s">
        <v>81</v>
      </c>
      <c r="B1098" s="4">
        <v>0</v>
      </c>
      <c r="C1098" s="5">
        <v>0</v>
      </c>
      <c r="D1098" s="4">
        <v>0</v>
      </c>
      <c r="E1098" s="5">
        <v>0</v>
      </c>
      <c r="F1098" s="4">
        <v>0</v>
      </c>
      <c r="G1098" s="5">
        <v>0</v>
      </c>
      <c r="H1098" s="4">
        <v>0</v>
      </c>
    </row>
    <row r="1099" spans="1:8" x14ac:dyDescent="0.2">
      <c r="A1099" s="2" t="s">
        <v>82</v>
      </c>
      <c r="B1099" s="4">
        <v>17</v>
      </c>
      <c r="C1099" s="5">
        <v>6.8</v>
      </c>
      <c r="D1099" s="4">
        <v>8</v>
      </c>
      <c r="E1099" s="5">
        <v>5.84</v>
      </c>
      <c r="F1099" s="4">
        <v>9</v>
      </c>
      <c r="G1099" s="5">
        <v>8.18</v>
      </c>
      <c r="H1099" s="4">
        <v>0</v>
      </c>
    </row>
    <row r="1100" spans="1:8" x14ac:dyDescent="0.2">
      <c r="A1100" s="2" t="s">
        <v>83</v>
      </c>
      <c r="B1100" s="4">
        <v>3</v>
      </c>
      <c r="C1100" s="5">
        <v>1.2</v>
      </c>
      <c r="D1100" s="4">
        <v>3</v>
      </c>
      <c r="E1100" s="5">
        <v>2.19</v>
      </c>
      <c r="F1100" s="4">
        <v>0</v>
      </c>
      <c r="G1100" s="5">
        <v>0</v>
      </c>
      <c r="H1100" s="4">
        <v>0</v>
      </c>
    </row>
    <row r="1101" spans="1:8" x14ac:dyDescent="0.2">
      <c r="A1101" s="2" t="s">
        <v>84</v>
      </c>
      <c r="B1101" s="4">
        <v>26</v>
      </c>
      <c r="C1101" s="5">
        <v>10.4</v>
      </c>
      <c r="D1101" s="4">
        <v>23</v>
      </c>
      <c r="E1101" s="5">
        <v>16.79</v>
      </c>
      <c r="F1101" s="4">
        <v>2</v>
      </c>
      <c r="G1101" s="5">
        <v>1.82</v>
      </c>
      <c r="H1101" s="4">
        <v>0</v>
      </c>
    </row>
    <row r="1102" spans="1:8" x14ac:dyDescent="0.2">
      <c r="A1102" s="2" t="s">
        <v>85</v>
      </c>
      <c r="B1102" s="4">
        <v>29</v>
      </c>
      <c r="C1102" s="5">
        <v>11.6</v>
      </c>
      <c r="D1102" s="4">
        <v>23</v>
      </c>
      <c r="E1102" s="5">
        <v>16.79</v>
      </c>
      <c r="F1102" s="4">
        <v>5</v>
      </c>
      <c r="G1102" s="5">
        <v>4.55</v>
      </c>
      <c r="H1102" s="4">
        <v>0</v>
      </c>
    </row>
    <row r="1103" spans="1:8" x14ac:dyDescent="0.2">
      <c r="A1103" s="2" t="s">
        <v>86</v>
      </c>
      <c r="B1103" s="4">
        <v>6</v>
      </c>
      <c r="C1103" s="5">
        <v>2.4</v>
      </c>
      <c r="D1103" s="4">
        <v>5</v>
      </c>
      <c r="E1103" s="5">
        <v>3.65</v>
      </c>
      <c r="F1103" s="4">
        <v>1</v>
      </c>
      <c r="G1103" s="5">
        <v>0.91</v>
      </c>
      <c r="H1103" s="4">
        <v>0</v>
      </c>
    </row>
    <row r="1104" spans="1:8" x14ac:dyDescent="0.2">
      <c r="A1104" s="2" t="s">
        <v>87</v>
      </c>
      <c r="B1104" s="4">
        <v>10</v>
      </c>
      <c r="C1104" s="5">
        <v>4</v>
      </c>
      <c r="D1104" s="4">
        <v>6</v>
      </c>
      <c r="E1104" s="5">
        <v>4.38</v>
      </c>
      <c r="F1104" s="4">
        <v>4</v>
      </c>
      <c r="G1104" s="5">
        <v>3.64</v>
      </c>
      <c r="H1104" s="4">
        <v>0</v>
      </c>
    </row>
    <row r="1105" spans="1:8" x14ac:dyDescent="0.2">
      <c r="A1105" s="2" t="s">
        <v>88</v>
      </c>
      <c r="B1105" s="4">
        <v>14</v>
      </c>
      <c r="C1105" s="5">
        <v>5.6</v>
      </c>
      <c r="D1105" s="4">
        <v>9</v>
      </c>
      <c r="E1105" s="5">
        <v>6.57</v>
      </c>
      <c r="F1105" s="4">
        <v>4</v>
      </c>
      <c r="G1105" s="5">
        <v>3.64</v>
      </c>
      <c r="H1105" s="4">
        <v>0</v>
      </c>
    </row>
    <row r="1106" spans="1:8" x14ac:dyDescent="0.2">
      <c r="A1106" s="1" t="s">
        <v>69</v>
      </c>
      <c r="B1106" s="4">
        <v>546</v>
      </c>
      <c r="C1106" s="5">
        <v>100</v>
      </c>
      <c r="D1106" s="4">
        <v>292</v>
      </c>
      <c r="E1106" s="5">
        <v>100.00000000000001</v>
      </c>
      <c r="F1106" s="4">
        <v>247</v>
      </c>
      <c r="G1106" s="5">
        <v>99.990000000000009</v>
      </c>
      <c r="H1106" s="4">
        <v>1</v>
      </c>
    </row>
    <row r="1107" spans="1:8" x14ac:dyDescent="0.2">
      <c r="A1107" s="2" t="s">
        <v>74</v>
      </c>
      <c r="B1107" s="4">
        <v>0</v>
      </c>
      <c r="C1107" s="5">
        <v>0</v>
      </c>
      <c r="D1107" s="4">
        <v>0</v>
      </c>
      <c r="E1107" s="5">
        <v>0</v>
      </c>
      <c r="F1107" s="4">
        <v>0</v>
      </c>
      <c r="G1107" s="5">
        <v>0</v>
      </c>
      <c r="H1107" s="4">
        <v>0</v>
      </c>
    </row>
    <row r="1108" spans="1:8" x14ac:dyDescent="0.2">
      <c r="A1108" s="2" t="s">
        <v>75</v>
      </c>
      <c r="B1108" s="4">
        <v>95</v>
      </c>
      <c r="C1108" s="5">
        <v>17.399999999999999</v>
      </c>
      <c r="D1108" s="4">
        <v>39</v>
      </c>
      <c r="E1108" s="5">
        <v>13.36</v>
      </c>
      <c r="F1108" s="4">
        <v>56</v>
      </c>
      <c r="G1108" s="5">
        <v>22.67</v>
      </c>
      <c r="H1108" s="4">
        <v>0</v>
      </c>
    </row>
    <row r="1109" spans="1:8" x14ac:dyDescent="0.2">
      <c r="A1109" s="2" t="s">
        <v>76</v>
      </c>
      <c r="B1109" s="4">
        <v>54</v>
      </c>
      <c r="C1109" s="5">
        <v>9.89</v>
      </c>
      <c r="D1109" s="4">
        <v>19</v>
      </c>
      <c r="E1109" s="5">
        <v>6.51</v>
      </c>
      <c r="F1109" s="4">
        <v>35</v>
      </c>
      <c r="G1109" s="5">
        <v>14.17</v>
      </c>
      <c r="H1109" s="4">
        <v>0</v>
      </c>
    </row>
    <row r="1110" spans="1:8" x14ac:dyDescent="0.2">
      <c r="A1110" s="2" t="s">
        <v>77</v>
      </c>
      <c r="B1110" s="4">
        <v>2</v>
      </c>
      <c r="C1110" s="5">
        <v>0.37</v>
      </c>
      <c r="D1110" s="4">
        <v>0</v>
      </c>
      <c r="E1110" s="5">
        <v>0</v>
      </c>
      <c r="F1110" s="4">
        <v>2</v>
      </c>
      <c r="G1110" s="5">
        <v>0.81</v>
      </c>
      <c r="H1110" s="4">
        <v>0</v>
      </c>
    </row>
    <row r="1111" spans="1:8" x14ac:dyDescent="0.2">
      <c r="A1111" s="2" t="s">
        <v>78</v>
      </c>
      <c r="B1111" s="4">
        <v>6</v>
      </c>
      <c r="C1111" s="5">
        <v>1.1000000000000001</v>
      </c>
      <c r="D1111" s="4">
        <v>0</v>
      </c>
      <c r="E1111" s="5">
        <v>0</v>
      </c>
      <c r="F1111" s="4">
        <v>6</v>
      </c>
      <c r="G1111" s="5">
        <v>2.4300000000000002</v>
      </c>
      <c r="H1111" s="4">
        <v>0</v>
      </c>
    </row>
    <row r="1112" spans="1:8" x14ac:dyDescent="0.2">
      <c r="A1112" s="2" t="s">
        <v>79</v>
      </c>
      <c r="B1112" s="4">
        <v>7</v>
      </c>
      <c r="C1112" s="5">
        <v>1.28</v>
      </c>
      <c r="D1112" s="4">
        <v>4</v>
      </c>
      <c r="E1112" s="5">
        <v>1.37</v>
      </c>
      <c r="F1112" s="4">
        <v>3</v>
      </c>
      <c r="G1112" s="5">
        <v>1.21</v>
      </c>
      <c r="H1112" s="4">
        <v>0</v>
      </c>
    </row>
    <row r="1113" spans="1:8" x14ac:dyDescent="0.2">
      <c r="A1113" s="2" t="s">
        <v>80</v>
      </c>
      <c r="B1113" s="4">
        <v>123</v>
      </c>
      <c r="C1113" s="5">
        <v>22.53</v>
      </c>
      <c r="D1113" s="4">
        <v>59</v>
      </c>
      <c r="E1113" s="5">
        <v>20.21</v>
      </c>
      <c r="F1113" s="4">
        <v>64</v>
      </c>
      <c r="G1113" s="5">
        <v>25.91</v>
      </c>
      <c r="H1113" s="4">
        <v>0</v>
      </c>
    </row>
    <row r="1114" spans="1:8" x14ac:dyDescent="0.2">
      <c r="A1114" s="2" t="s">
        <v>81</v>
      </c>
      <c r="B1114" s="4">
        <v>4</v>
      </c>
      <c r="C1114" s="5">
        <v>0.73</v>
      </c>
      <c r="D1114" s="4">
        <v>1</v>
      </c>
      <c r="E1114" s="5">
        <v>0.34</v>
      </c>
      <c r="F1114" s="4">
        <v>3</v>
      </c>
      <c r="G1114" s="5">
        <v>1.21</v>
      </c>
      <c r="H1114" s="4">
        <v>0</v>
      </c>
    </row>
    <row r="1115" spans="1:8" x14ac:dyDescent="0.2">
      <c r="A1115" s="2" t="s">
        <v>82</v>
      </c>
      <c r="B1115" s="4">
        <v>30</v>
      </c>
      <c r="C1115" s="5">
        <v>5.49</v>
      </c>
      <c r="D1115" s="4">
        <v>12</v>
      </c>
      <c r="E1115" s="5">
        <v>4.1100000000000003</v>
      </c>
      <c r="F1115" s="4">
        <v>18</v>
      </c>
      <c r="G1115" s="5">
        <v>7.29</v>
      </c>
      <c r="H1115" s="4">
        <v>0</v>
      </c>
    </row>
    <row r="1116" spans="1:8" x14ac:dyDescent="0.2">
      <c r="A1116" s="2" t="s">
        <v>83</v>
      </c>
      <c r="B1116" s="4">
        <v>16</v>
      </c>
      <c r="C1116" s="5">
        <v>2.93</v>
      </c>
      <c r="D1116" s="4">
        <v>9</v>
      </c>
      <c r="E1116" s="5">
        <v>3.08</v>
      </c>
      <c r="F1116" s="4">
        <v>7</v>
      </c>
      <c r="G1116" s="5">
        <v>2.83</v>
      </c>
      <c r="H1116" s="4">
        <v>0</v>
      </c>
    </row>
    <row r="1117" spans="1:8" x14ac:dyDescent="0.2">
      <c r="A1117" s="2" t="s">
        <v>84</v>
      </c>
      <c r="B1117" s="4">
        <v>58</v>
      </c>
      <c r="C1117" s="5">
        <v>10.62</v>
      </c>
      <c r="D1117" s="4">
        <v>46</v>
      </c>
      <c r="E1117" s="5">
        <v>15.75</v>
      </c>
      <c r="F1117" s="4">
        <v>12</v>
      </c>
      <c r="G1117" s="5">
        <v>4.8600000000000003</v>
      </c>
      <c r="H1117" s="4">
        <v>0</v>
      </c>
    </row>
    <row r="1118" spans="1:8" x14ac:dyDescent="0.2">
      <c r="A1118" s="2" t="s">
        <v>85</v>
      </c>
      <c r="B1118" s="4">
        <v>81</v>
      </c>
      <c r="C1118" s="5">
        <v>14.84</v>
      </c>
      <c r="D1118" s="4">
        <v>63</v>
      </c>
      <c r="E1118" s="5">
        <v>21.58</v>
      </c>
      <c r="F1118" s="4">
        <v>18</v>
      </c>
      <c r="G1118" s="5">
        <v>7.29</v>
      </c>
      <c r="H1118" s="4">
        <v>0</v>
      </c>
    </row>
    <row r="1119" spans="1:8" x14ac:dyDescent="0.2">
      <c r="A1119" s="2" t="s">
        <v>86</v>
      </c>
      <c r="B1119" s="4">
        <v>23</v>
      </c>
      <c r="C1119" s="5">
        <v>4.21</v>
      </c>
      <c r="D1119" s="4">
        <v>10</v>
      </c>
      <c r="E1119" s="5">
        <v>3.42</v>
      </c>
      <c r="F1119" s="4">
        <v>7</v>
      </c>
      <c r="G1119" s="5">
        <v>2.83</v>
      </c>
      <c r="H1119" s="4">
        <v>0</v>
      </c>
    </row>
    <row r="1120" spans="1:8" x14ac:dyDescent="0.2">
      <c r="A1120" s="2" t="s">
        <v>87</v>
      </c>
      <c r="B1120" s="4">
        <v>28</v>
      </c>
      <c r="C1120" s="5">
        <v>5.13</v>
      </c>
      <c r="D1120" s="4">
        <v>17</v>
      </c>
      <c r="E1120" s="5">
        <v>5.82</v>
      </c>
      <c r="F1120" s="4">
        <v>10</v>
      </c>
      <c r="G1120" s="5">
        <v>4.05</v>
      </c>
      <c r="H1120" s="4">
        <v>1</v>
      </c>
    </row>
    <row r="1121" spans="1:8" x14ac:dyDescent="0.2">
      <c r="A1121" s="2" t="s">
        <v>88</v>
      </c>
      <c r="B1121" s="4">
        <v>19</v>
      </c>
      <c r="C1121" s="5">
        <v>3.48</v>
      </c>
      <c r="D1121" s="4">
        <v>13</v>
      </c>
      <c r="E1121" s="5">
        <v>4.45</v>
      </c>
      <c r="F1121" s="4">
        <v>6</v>
      </c>
      <c r="G1121" s="5">
        <v>2.4300000000000002</v>
      </c>
      <c r="H1121" s="4">
        <v>0</v>
      </c>
    </row>
    <row r="1122" spans="1:8" x14ac:dyDescent="0.2">
      <c r="A1122" s="1" t="s">
        <v>70</v>
      </c>
      <c r="B1122" s="4">
        <v>731</v>
      </c>
      <c r="C1122" s="5">
        <v>100</v>
      </c>
      <c r="D1122" s="4">
        <v>424</v>
      </c>
      <c r="E1122" s="5">
        <v>99.999999999999986</v>
      </c>
      <c r="F1122" s="4">
        <v>299</v>
      </c>
      <c r="G1122" s="5">
        <v>99.989999999999981</v>
      </c>
      <c r="H1122" s="4">
        <v>1</v>
      </c>
    </row>
    <row r="1123" spans="1:8" x14ac:dyDescent="0.2">
      <c r="A1123" s="2" t="s">
        <v>74</v>
      </c>
      <c r="B1123" s="4">
        <v>0</v>
      </c>
      <c r="C1123" s="5">
        <v>0</v>
      </c>
      <c r="D1123" s="4">
        <v>0</v>
      </c>
      <c r="E1123" s="5">
        <v>0</v>
      </c>
      <c r="F1123" s="4">
        <v>0</v>
      </c>
      <c r="G1123" s="5">
        <v>0</v>
      </c>
      <c r="H1123" s="4">
        <v>0</v>
      </c>
    </row>
    <row r="1124" spans="1:8" x14ac:dyDescent="0.2">
      <c r="A1124" s="2" t="s">
        <v>75</v>
      </c>
      <c r="B1124" s="4">
        <v>111</v>
      </c>
      <c r="C1124" s="5">
        <v>15.18</v>
      </c>
      <c r="D1124" s="4">
        <v>50</v>
      </c>
      <c r="E1124" s="5">
        <v>11.79</v>
      </c>
      <c r="F1124" s="4">
        <v>61</v>
      </c>
      <c r="G1124" s="5">
        <v>20.399999999999999</v>
      </c>
      <c r="H1124" s="4">
        <v>0</v>
      </c>
    </row>
    <row r="1125" spans="1:8" x14ac:dyDescent="0.2">
      <c r="A1125" s="2" t="s">
        <v>76</v>
      </c>
      <c r="B1125" s="4">
        <v>79</v>
      </c>
      <c r="C1125" s="5">
        <v>10.81</v>
      </c>
      <c r="D1125" s="4">
        <v>29</v>
      </c>
      <c r="E1125" s="5">
        <v>6.84</v>
      </c>
      <c r="F1125" s="4">
        <v>50</v>
      </c>
      <c r="G1125" s="5">
        <v>16.72</v>
      </c>
      <c r="H1125" s="4">
        <v>0</v>
      </c>
    </row>
    <row r="1126" spans="1:8" x14ac:dyDescent="0.2">
      <c r="A1126" s="2" t="s">
        <v>77</v>
      </c>
      <c r="B1126" s="4">
        <v>1</v>
      </c>
      <c r="C1126" s="5">
        <v>0.14000000000000001</v>
      </c>
      <c r="D1126" s="4">
        <v>0</v>
      </c>
      <c r="E1126" s="5">
        <v>0</v>
      </c>
      <c r="F1126" s="4">
        <v>1</v>
      </c>
      <c r="G1126" s="5">
        <v>0.33</v>
      </c>
      <c r="H1126" s="4">
        <v>0</v>
      </c>
    </row>
    <row r="1127" spans="1:8" x14ac:dyDescent="0.2">
      <c r="A1127" s="2" t="s">
        <v>78</v>
      </c>
      <c r="B1127" s="4">
        <v>3</v>
      </c>
      <c r="C1127" s="5">
        <v>0.41</v>
      </c>
      <c r="D1127" s="4">
        <v>0</v>
      </c>
      <c r="E1127" s="5">
        <v>0</v>
      </c>
      <c r="F1127" s="4">
        <v>3</v>
      </c>
      <c r="G1127" s="5">
        <v>1</v>
      </c>
      <c r="H1127" s="4">
        <v>0</v>
      </c>
    </row>
    <row r="1128" spans="1:8" x14ac:dyDescent="0.2">
      <c r="A1128" s="2" t="s">
        <v>79</v>
      </c>
      <c r="B1128" s="4">
        <v>10</v>
      </c>
      <c r="C1128" s="5">
        <v>1.37</v>
      </c>
      <c r="D1128" s="4">
        <v>0</v>
      </c>
      <c r="E1128" s="5">
        <v>0</v>
      </c>
      <c r="F1128" s="4">
        <v>10</v>
      </c>
      <c r="G1128" s="5">
        <v>3.34</v>
      </c>
      <c r="H1128" s="4">
        <v>0</v>
      </c>
    </row>
    <row r="1129" spans="1:8" x14ac:dyDescent="0.2">
      <c r="A1129" s="2" t="s">
        <v>80</v>
      </c>
      <c r="B1129" s="4">
        <v>153</v>
      </c>
      <c r="C1129" s="5">
        <v>20.93</v>
      </c>
      <c r="D1129" s="4">
        <v>88</v>
      </c>
      <c r="E1129" s="5">
        <v>20.75</v>
      </c>
      <c r="F1129" s="4">
        <v>65</v>
      </c>
      <c r="G1129" s="5">
        <v>21.74</v>
      </c>
      <c r="H1129" s="4">
        <v>0</v>
      </c>
    </row>
    <row r="1130" spans="1:8" x14ac:dyDescent="0.2">
      <c r="A1130" s="2" t="s">
        <v>81</v>
      </c>
      <c r="B1130" s="4">
        <v>4</v>
      </c>
      <c r="C1130" s="5">
        <v>0.55000000000000004</v>
      </c>
      <c r="D1130" s="4">
        <v>1</v>
      </c>
      <c r="E1130" s="5">
        <v>0.24</v>
      </c>
      <c r="F1130" s="4">
        <v>3</v>
      </c>
      <c r="G1130" s="5">
        <v>1</v>
      </c>
      <c r="H1130" s="4">
        <v>0</v>
      </c>
    </row>
    <row r="1131" spans="1:8" x14ac:dyDescent="0.2">
      <c r="A1131" s="2" t="s">
        <v>82</v>
      </c>
      <c r="B1131" s="4">
        <v>41</v>
      </c>
      <c r="C1131" s="5">
        <v>5.61</v>
      </c>
      <c r="D1131" s="4">
        <v>10</v>
      </c>
      <c r="E1131" s="5">
        <v>2.36</v>
      </c>
      <c r="F1131" s="4">
        <v>31</v>
      </c>
      <c r="G1131" s="5">
        <v>10.37</v>
      </c>
      <c r="H1131" s="4">
        <v>0</v>
      </c>
    </row>
    <row r="1132" spans="1:8" x14ac:dyDescent="0.2">
      <c r="A1132" s="2" t="s">
        <v>83</v>
      </c>
      <c r="B1132" s="4">
        <v>28</v>
      </c>
      <c r="C1132" s="5">
        <v>3.83</v>
      </c>
      <c r="D1132" s="4">
        <v>15</v>
      </c>
      <c r="E1132" s="5">
        <v>3.54</v>
      </c>
      <c r="F1132" s="4">
        <v>13</v>
      </c>
      <c r="G1132" s="5">
        <v>4.3499999999999996</v>
      </c>
      <c r="H1132" s="4">
        <v>0</v>
      </c>
    </row>
    <row r="1133" spans="1:8" x14ac:dyDescent="0.2">
      <c r="A1133" s="2" t="s">
        <v>84</v>
      </c>
      <c r="B1133" s="4">
        <v>102</v>
      </c>
      <c r="C1133" s="5">
        <v>13.95</v>
      </c>
      <c r="D1133" s="4">
        <v>91</v>
      </c>
      <c r="E1133" s="5">
        <v>21.46</v>
      </c>
      <c r="F1133" s="4">
        <v>10</v>
      </c>
      <c r="G1133" s="5">
        <v>3.34</v>
      </c>
      <c r="H1133" s="4">
        <v>0</v>
      </c>
    </row>
    <row r="1134" spans="1:8" x14ac:dyDescent="0.2">
      <c r="A1134" s="2" t="s">
        <v>85</v>
      </c>
      <c r="B1134" s="4">
        <v>91</v>
      </c>
      <c r="C1134" s="5">
        <v>12.45</v>
      </c>
      <c r="D1134" s="4">
        <v>73</v>
      </c>
      <c r="E1134" s="5">
        <v>17.22</v>
      </c>
      <c r="F1134" s="4">
        <v>18</v>
      </c>
      <c r="G1134" s="5">
        <v>6.02</v>
      </c>
      <c r="H1134" s="4">
        <v>0</v>
      </c>
    </row>
    <row r="1135" spans="1:8" x14ac:dyDescent="0.2">
      <c r="A1135" s="2" t="s">
        <v>86</v>
      </c>
      <c r="B1135" s="4">
        <v>24</v>
      </c>
      <c r="C1135" s="5">
        <v>3.28</v>
      </c>
      <c r="D1135" s="4">
        <v>19</v>
      </c>
      <c r="E1135" s="5">
        <v>4.4800000000000004</v>
      </c>
      <c r="F1135" s="4">
        <v>4</v>
      </c>
      <c r="G1135" s="5">
        <v>1.34</v>
      </c>
      <c r="H1135" s="4">
        <v>0</v>
      </c>
    </row>
    <row r="1136" spans="1:8" x14ac:dyDescent="0.2">
      <c r="A1136" s="2" t="s">
        <v>87</v>
      </c>
      <c r="B1136" s="4">
        <v>44</v>
      </c>
      <c r="C1136" s="5">
        <v>6.02</v>
      </c>
      <c r="D1136" s="4">
        <v>26</v>
      </c>
      <c r="E1136" s="5">
        <v>6.13</v>
      </c>
      <c r="F1136" s="4">
        <v>15</v>
      </c>
      <c r="G1136" s="5">
        <v>5.0199999999999996</v>
      </c>
      <c r="H1136" s="4">
        <v>0</v>
      </c>
    </row>
    <row r="1137" spans="1:8" x14ac:dyDescent="0.2">
      <c r="A1137" s="2" t="s">
        <v>88</v>
      </c>
      <c r="B1137" s="4">
        <v>40</v>
      </c>
      <c r="C1137" s="5">
        <v>5.47</v>
      </c>
      <c r="D1137" s="4">
        <v>22</v>
      </c>
      <c r="E1137" s="5">
        <v>5.19</v>
      </c>
      <c r="F1137" s="4">
        <v>15</v>
      </c>
      <c r="G1137" s="5">
        <v>5.0199999999999996</v>
      </c>
      <c r="H1137" s="4">
        <v>1</v>
      </c>
    </row>
    <row r="1138" spans="1:8" x14ac:dyDescent="0.2">
      <c r="A1138" s="1" t="s">
        <v>71</v>
      </c>
      <c r="B1138" s="4">
        <v>660</v>
      </c>
      <c r="C1138" s="5">
        <v>100</v>
      </c>
      <c r="D1138" s="4">
        <v>420</v>
      </c>
      <c r="E1138" s="5">
        <v>100</v>
      </c>
      <c r="F1138" s="4">
        <v>240</v>
      </c>
      <c r="G1138" s="5">
        <v>99.99</v>
      </c>
      <c r="H1138" s="4">
        <v>0</v>
      </c>
    </row>
    <row r="1139" spans="1:8" x14ac:dyDescent="0.2">
      <c r="A1139" s="2" t="s">
        <v>74</v>
      </c>
      <c r="B1139" s="4">
        <v>0</v>
      </c>
      <c r="C1139" s="5">
        <v>0</v>
      </c>
      <c r="D1139" s="4">
        <v>0</v>
      </c>
      <c r="E1139" s="5">
        <v>0</v>
      </c>
      <c r="F1139" s="4">
        <v>0</v>
      </c>
      <c r="G1139" s="5">
        <v>0</v>
      </c>
      <c r="H1139" s="4">
        <v>0</v>
      </c>
    </row>
    <row r="1140" spans="1:8" x14ac:dyDescent="0.2">
      <c r="A1140" s="2" t="s">
        <v>75</v>
      </c>
      <c r="B1140" s="4">
        <v>100</v>
      </c>
      <c r="C1140" s="5">
        <v>15.15</v>
      </c>
      <c r="D1140" s="4">
        <v>29</v>
      </c>
      <c r="E1140" s="5">
        <v>6.9</v>
      </c>
      <c r="F1140" s="4">
        <v>71</v>
      </c>
      <c r="G1140" s="5">
        <v>29.58</v>
      </c>
      <c r="H1140" s="4">
        <v>0</v>
      </c>
    </row>
    <row r="1141" spans="1:8" x14ac:dyDescent="0.2">
      <c r="A1141" s="2" t="s">
        <v>76</v>
      </c>
      <c r="B1141" s="4">
        <v>49</v>
      </c>
      <c r="C1141" s="5">
        <v>7.42</v>
      </c>
      <c r="D1141" s="4">
        <v>23</v>
      </c>
      <c r="E1141" s="5">
        <v>5.48</v>
      </c>
      <c r="F1141" s="4">
        <v>26</v>
      </c>
      <c r="G1141" s="5">
        <v>10.83</v>
      </c>
      <c r="H1141" s="4">
        <v>0</v>
      </c>
    </row>
    <row r="1142" spans="1:8" x14ac:dyDescent="0.2">
      <c r="A1142" s="2" t="s">
        <v>77</v>
      </c>
      <c r="B1142" s="4">
        <v>1</v>
      </c>
      <c r="C1142" s="5">
        <v>0.15</v>
      </c>
      <c r="D1142" s="4">
        <v>0</v>
      </c>
      <c r="E1142" s="5">
        <v>0</v>
      </c>
      <c r="F1142" s="4">
        <v>1</v>
      </c>
      <c r="G1142" s="5">
        <v>0.42</v>
      </c>
      <c r="H1142" s="4">
        <v>0</v>
      </c>
    </row>
    <row r="1143" spans="1:8" x14ac:dyDescent="0.2">
      <c r="A1143" s="2" t="s">
        <v>78</v>
      </c>
      <c r="B1143" s="4">
        <v>5</v>
      </c>
      <c r="C1143" s="5">
        <v>0.76</v>
      </c>
      <c r="D1143" s="4">
        <v>0</v>
      </c>
      <c r="E1143" s="5">
        <v>0</v>
      </c>
      <c r="F1143" s="4">
        <v>5</v>
      </c>
      <c r="G1143" s="5">
        <v>2.08</v>
      </c>
      <c r="H1143" s="4">
        <v>0</v>
      </c>
    </row>
    <row r="1144" spans="1:8" x14ac:dyDescent="0.2">
      <c r="A1144" s="2" t="s">
        <v>79</v>
      </c>
      <c r="B1144" s="4">
        <v>5</v>
      </c>
      <c r="C1144" s="5">
        <v>0.76</v>
      </c>
      <c r="D1144" s="4">
        <v>2</v>
      </c>
      <c r="E1144" s="5">
        <v>0.48</v>
      </c>
      <c r="F1144" s="4">
        <v>3</v>
      </c>
      <c r="G1144" s="5">
        <v>1.25</v>
      </c>
      <c r="H1144" s="4">
        <v>0</v>
      </c>
    </row>
    <row r="1145" spans="1:8" x14ac:dyDescent="0.2">
      <c r="A1145" s="2" t="s">
        <v>80</v>
      </c>
      <c r="B1145" s="4">
        <v>119</v>
      </c>
      <c r="C1145" s="5">
        <v>18.03</v>
      </c>
      <c r="D1145" s="4">
        <v>75</v>
      </c>
      <c r="E1145" s="5">
        <v>17.86</v>
      </c>
      <c r="F1145" s="4">
        <v>44</v>
      </c>
      <c r="G1145" s="5">
        <v>18.329999999999998</v>
      </c>
      <c r="H1145" s="4">
        <v>0</v>
      </c>
    </row>
    <row r="1146" spans="1:8" x14ac:dyDescent="0.2">
      <c r="A1146" s="2" t="s">
        <v>81</v>
      </c>
      <c r="B1146" s="4">
        <v>1</v>
      </c>
      <c r="C1146" s="5">
        <v>0.15</v>
      </c>
      <c r="D1146" s="4">
        <v>0</v>
      </c>
      <c r="E1146" s="5">
        <v>0</v>
      </c>
      <c r="F1146" s="4">
        <v>1</v>
      </c>
      <c r="G1146" s="5">
        <v>0.42</v>
      </c>
      <c r="H1146" s="4">
        <v>0</v>
      </c>
    </row>
    <row r="1147" spans="1:8" x14ac:dyDescent="0.2">
      <c r="A1147" s="2" t="s">
        <v>82</v>
      </c>
      <c r="B1147" s="4">
        <v>100</v>
      </c>
      <c r="C1147" s="5">
        <v>15.15</v>
      </c>
      <c r="D1147" s="4">
        <v>66</v>
      </c>
      <c r="E1147" s="5">
        <v>15.71</v>
      </c>
      <c r="F1147" s="4">
        <v>34</v>
      </c>
      <c r="G1147" s="5">
        <v>14.17</v>
      </c>
      <c r="H1147" s="4">
        <v>0</v>
      </c>
    </row>
    <row r="1148" spans="1:8" x14ac:dyDescent="0.2">
      <c r="A1148" s="2" t="s">
        <v>83</v>
      </c>
      <c r="B1148" s="4">
        <v>33</v>
      </c>
      <c r="C1148" s="5">
        <v>5</v>
      </c>
      <c r="D1148" s="4">
        <v>22</v>
      </c>
      <c r="E1148" s="5">
        <v>5.24</v>
      </c>
      <c r="F1148" s="4">
        <v>11</v>
      </c>
      <c r="G1148" s="5">
        <v>4.58</v>
      </c>
      <c r="H1148" s="4">
        <v>0</v>
      </c>
    </row>
    <row r="1149" spans="1:8" x14ac:dyDescent="0.2">
      <c r="A1149" s="2" t="s">
        <v>84</v>
      </c>
      <c r="B1149" s="4">
        <v>72</v>
      </c>
      <c r="C1149" s="5">
        <v>10.91</v>
      </c>
      <c r="D1149" s="4">
        <v>61</v>
      </c>
      <c r="E1149" s="5">
        <v>14.52</v>
      </c>
      <c r="F1149" s="4">
        <v>11</v>
      </c>
      <c r="G1149" s="5">
        <v>4.58</v>
      </c>
      <c r="H1149" s="4">
        <v>0</v>
      </c>
    </row>
    <row r="1150" spans="1:8" x14ac:dyDescent="0.2">
      <c r="A1150" s="2" t="s">
        <v>85</v>
      </c>
      <c r="B1150" s="4">
        <v>104</v>
      </c>
      <c r="C1150" s="5">
        <v>15.76</v>
      </c>
      <c r="D1150" s="4">
        <v>89</v>
      </c>
      <c r="E1150" s="5">
        <v>21.19</v>
      </c>
      <c r="F1150" s="4">
        <v>15</v>
      </c>
      <c r="G1150" s="5">
        <v>6.25</v>
      </c>
      <c r="H1150" s="4">
        <v>0</v>
      </c>
    </row>
    <row r="1151" spans="1:8" x14ac:dyDescent="0.2">
      <c r="A1151" s="2" t="s">
        <v>86</v>
      </c>
      <c r="B1151" s="4">
        <v>24</v>
      </c>
      <c r="C1151" s="5">
        <v>3.64</v>
      </c>
      <c r="D1151" s="4">
        <v>21</v>
      </c>
      <c r="E1151" s="5">
        <v>5</v>
      </c>
      <c r="F1151" s="4">
        <v>3</v>
      </c>
      <c r="G1151" s="5">
        <v>1.25</v>
      </c>
      <c r="H1151" s="4">
        <v>0</v>
      </c>
    </row>
    <row r="1152" spans="1:8" x14ac:dyDescent="0.2">
      <c r="A1152" s="2" t="s">
        <v>87</v>
      </c>
      <c r="B1152" s="4">
        <v>28</v>
      </c>
      <c r="C1152" s="5">
        <v>4.24</v>
      </c>
      <c r="D1152" s="4">
        <v>20</v>
      </c>
      <c r="E1152" s="5">
        <v>4.76</v>
      </c>
      <c r="F1152" s="4">
        <v>8</v>
      </c>
      <c r="G1152" s="5">
        <v>3.33</v>
      </c>
      <c r="H1152" s="4">
        <v>0</v>
      </c>
    </row>
    <row r="1153" spans="1:8" x14ac:dyDescent="0.2">
      <c r="A1153" s="2" t="s">
        <v>88</v>
      </c>
      <c r="B1153" s="4">
        <v>19</v>
      </c>
      <c r="C1153" s="5">
        <v>2.88</v>
      </c>
      <c r="D1153" s="4">
        <v>12</v>
      </c>
      <c r="E1153" s="5">
        <v>2.86</v>
      </c>
      <c r="F1153" s="4">
        <v>7</v>
      </c>
      <c r="G1153" s="5">
        <v>2.92</v>
      </c>
      <c r="H1153" s="4">
        <v>0</v>
      </c>
    </row>
    <row r="1154" spans="1:8" x14ac:dyDescent="0.2">
      <c r="A1154" s="1" t="s">
        <v>72</v>
      </c>
      <c r="B1154" s="4">
        <v>878</v>
      </c>
      <c r="C1154" s="5">
        <v>99.97999999999999</v>
      </c>
      <c r="D1154" s="4">
        <v>455</v>
      </c>
      <c r="E1154" s="5">
        <v>100.00999999999998</v>
      </c>
      <c r="F1154" s="4">
        <v>414</v>
      </c>
      <c r="G1154" s="5">
        <v>99.999999999999986</v>
      </c>
      <c r="H1154" s="4">
        <v>1</v>
      </c>
    </row>
    <row r="1155" spans="1:8" x14ac:dyDescent="0.2">
      <c r="A1155" s="2" t="s">
        <v>74</v>
      </c>
      <c r="B1155" s="4">
        <v>0</v>
      </c>
      <c r="C1155" s="5">
        <v>0</v>
      </c>
      <c r="D1155" s="4">
        <v>0</v>
      </c>
      <c r="E1155" s="5">
        <v>0</v>
      </c>
      <c r="F1155" s="4">
        <v>0</v>
      </c>
      <c r="G1155" s="5">
        <v>0</v>
      </c>
      <c r="H1155" s="4">
        <v>0</v>
      </c>
    </row>
    <row r="1156" spans="1:8" x14ac:dyDescent="0.2">
      <c r="A1156" s="2" t="s">
        <v>75</v>
      </c>
      <c r="B1156" s="4">
        <v>163</v>
      </c>
      <c r="C1156" s="5">
        <v>18.559999999999999</v>
      </c>
      <c r="D1156" s="4">
        <v>60</v>
      </c>
      <c r="E1156" s="5">
        <v>13.19</v>
      </c>
      <c r="F1156" s="4">
        <v>103</v>
      </c>
      <c r="G1156" s="5">
        <v>24.88</v>
      </c>
      <c r="H1156" s="4">
        <v>0</v>
      </c>
    </row>
    <row r="1157" spans="1:8" x14ac:dyDescent="0.2">
      <c r="A1157" s="2" t="s">
        <v>76</v>
      </c>
      <c r="B1157" s="4">
        <v>101</v>
      </c>
      <c r="C1157" s="5">
        <v>11.5</v>
      </c>
      <c r="D1157" s="4">
        <v>42</v>
      </c>
      <c r="E1157" s="5">
        <v>9.23</v>
      </c>
      <c r="F1157" s="4">
        <v>59</v>
      </c>
      <c r="G1157" s="5">
        <v>14.25</v>
      </c>
      <c r="H1157" s="4">
        <v>0</v>
      </c>
    </row>
    <row r="1158" spans="1:8" x14ac:dyDescent="0.2">
      <c r="A1158" s="2" t="s">
        <v>77</v>
      </c>
      <c r="B1158" s="4">
        <v>0</v>
      </c>
      <c r="C1158" s="5">
        <v>0</v>
      </c>
      <c r="D1158" s="4">
        <v>0</v>
      </c>
      <c r="E1158" s="5">
        <v>0</v>
      </c>
      <c r="F1158" s="4">
        <v>0</v>
      </c>
      <c r="G1158" s="5">
        <v>0</v>
      </c>
      <c r="H1158" s="4">
        <v>0</v>
      </c>
    </row>
    <row r="1159" spans="1:8" x14ac:dyDescent="0.2">
      <c r="A1159" s="2" t="s">
        <v>78</v>
      </c>
      <c r="B1159" s="4">
        <v>5</v>
      </c>
      <c r="C1159" s="5">
        <v>0.56999999999999995</v>
      </c>
      <c r="D1159" s="4">
        <v>1</v>
      </c>
      <c r="E1159" s="5">
        <v>0.22</v>
      </c>
      <c r="F1159" s="4">
        <v>4</v>
      </c>
      <c r="G1159" s="5">
        <v>0.97</v>
      </c>
      <c r="H1159" s="4">
        <v>0</v>
      </c>
    </row>
    <row r="1160" spans="1:8" x14ac:dyDescent="0.2">
      <c r="A1160" s="2" t="s">
        <v>79</v>
      </c>
      <c r="B1160" s="4">
        <v>16</v>
      </c>
      <c r="C1160" s="5">
        <v>1.82</v>
      </c>
      <c r="D1160" s="4">
        <v>3</v>
      </c>
      <c r="E1160" s="5">
        <v>0.66</v>
      </c>
      <c r="F1160" s="4">
        <v>13</v>
      </c>
      <c r="G1160" s="5">
        <v>3.14</v>
      </c>
      <c r="H1160" s="4">
        <v>0</v>
      </c>
    </row>
    <row r="1161" spans="1:8" x14ac:dyDescent="0.2">
      <c r="A1161" s="2" t="s">
        <v>80</v>
      </c>
      <c r="B1161" s="4">
        <v>203</v>
      </c>
      <c r="C1161" s="5">
        <v>23.12</v>
      </c>
      <c r="D1161" s="4">
        <v>106</v>
      </c>
      <c r="E1161" s="5">
        <v>23.3</v>
      </c>
      <c r="F1161" s="4">
        <v>97</v>
      </c>
      <c r="G1161" s="5">
        <v>23.43</v>
      </c>
      <c r="H1161" s="4">
        <v>0</v>
      </c>
    </row>
    <row r="1162" spans="1:8" x14ac:dyDescent="0.2">
      <c r="A1162" s="2" t="s">
        <v>81</v>
      </c>
      <c r="B1162" s="4">
        <v>3</v>
      </c>
      <c r="C1162" s="5">
        <v>0.34</v>
      </c>
      <c r="D1162" s="4">
        <v>1</v>
      </c>
      <c r="E1162" s="5">
        <v>0.22</v>
      </c>
      <c r="F1162" s="4">
        <v>2</v>
      </c>
      <c r="G1162" s="5">
        <v>0.48</v>
      </c>
      <c r="H1162" s="4">
        <v>0</v>
      </c>
    </row>
    <row r="1163" spans="1:8" x14ac:dyDescent="0.2">
      <c r="A1163" s="2" t="s">
        <v>82</v>
      </c>
      <c r="B1163" s="4">
        <v>66</v>
      </c>
      <c r="C1163" s="5">
        <v>7.52</v>
      </c>
      <c r="D1163" s="4">
        <v>18</v>
      </c>
      <c r="E1163" s="5">
        <v>3.96</v>
      </c>
      <c r="F1163" s="4">
        <v>47</v>
      </c>
      <c r="G1163" s="5">
        <v>11.35</v>
      </c>
      <c r="H1163" s="4">
        <v>1</v>
      </c>
    </row>
    <row r="1164" spans="1:8" x14ac:dyDescent="0.2">
      <c r="A1164" s="2" t="s">
        <v>83</v>
      </c>
      <c r="B1164" s="4">
        <v>31</v>
      </c>
      <c r="C1164" s="5">
        <v>3.53</v>
      </c>
      <c r="D1164" s="4">
        <v>15</v>
      </c>
      <c r="E1164" s="5">
        <v>3.3</v>
      </c>
      <c r="F1164" s="4">
        <v>15</v>
      </c>
      <c r="G1164" s="5">
        <v>3.62</v>
      </c>
      <c r="H1164" s="4">
        <v>0</v>
      </c>
    </row>
    <row r="1165" spans="1:8" x14ac:dyDescent="0.2">
      <c r="A1165" s="2" t="s">
        <v>84</v>
      </c>
      <c r="B1165" s="4">
        <v>70</v>
      </c>
      <c r="C1165" s="5">
        <v>7.97</v>
      </c>
      <c r="D1165" s="4">
        <v>52</v>
      </c>
      <c r="E1165" s="5">
        <v>11.43</v>
      </c>
      <c r="F1165" s="4">
        <v>17</v>
      </c>
      <c r="G1165" s="5">
        <v>4.1100000000000003</v>
      </c>
      <c r="H1165" s="4">
        <v>0</v>
      </c>
    </row>
    <row r="1166" spans="1:8" x14ac:dyDescent="0.2">
      <c r="A1166" s="2" t="s">
        <v>85</v>
      </c>
      <c r="B1166" s="4">
        <v>108</v>
      </c>
      <c r="C1166" s="5">
        <v>12.3</v>
      </c>
      <c r="D1166" s="4">
        <v>90</v>
      </c>
      <c r="E1166" s="5">
        <v>19.78</v>
      </c>
      <c r="F1166" s="4">
        <v>18</v>
      </c>
      <c r="G1166" s="5">
        <v>4.3499999999999996</v>
      </c>
      <c r="H1166" s="4">
        <v>0</v>
      </c>
    </row>
    <row r="1167" spans="1:8" x14ac:dyDescent="0.2">
      <c r="A1167" s="2" t="s">
        <v>86</v>
      </c>
      <c r="B1167" s="4">
        <v>32</v>
      </c>
      <c r="C1167" s="5">
        <v>3.64</v>
      </c>
      <c r="D1167" s="4">
        <v>25</v>
      </c>
      <c r="E1167" s="5">
        <v>5.49</v>
      </c>
      <c r="F1167" s="4">
        <v>5</v>
      </c>
      <c r="G1167" s="5">
        <v>1.21</v>
      </c>
      <c r="H1167" s="4">
        <v>0</v>
      </c>
    </row>
    <row r="1168" spans="1:8" x14ac:dyDescent="0.2">
      <c r="A1168" s="2" t="s">
        <v>87</v>
      </c>
      <c r="B1168" s="4">
        <v>38</v>
      </c>
      <c r="C1168" s="5">
        <v>4.33</v>
      </c>
      <c r="D1168" s="4">
        <v>26</v>
      </c>
      <c r="E1168" s="5">
        <v>5.71</v>
      </c>
      <c r="F1168" s="4">
        <v>8</v>
      </c>
      <c r="G1168" s="5">
        <v>1.93</v>
      </c>
      <c r="H1168" s="4">
        <v>0</v>
      </c>
    </row>
    <row r="1169" spans="1:8" x14ac:dyDescent="0.2">
      <c r="A1169" s="2" t="s">
        <v>88</v>
      </c>
      <c r="B1169" s="4">
        <v>42</v>
      </c>
      <c r="C1169" s="5">
        <v>4.78</v>
      </c>
      <c r="D1169" s="4">
        <v>16</v>
      </c>
      <c r="E1169" s="5">
        <v>3.52</v>
      </c>
      <c r="F1169" s="4">
        <v>26</v>
      </c>
      <c r="G1169" s="5">
        <v>6.28</v>
      </c>
      <c r="H1169" s="4">
        <v>0</v>
      </c>
    </row>
    <row r="1170" spans="1:8" x14ac:dyDescent="0.2">
      <c r="A1170" s="1" t="s">
        <v>73</v>
      </c>
      <c r="B1170" s="4">
        <v>620</v>
      </c>
      <c r="C1170" s="5">
        <v>100.00000000000001</v>
      </c>
      <c r="D1170" s="4">
        <v>303</v>
      </c>
      <c r="E1170" s="5">
        <v>99.989999999999981</v>
      </c>
      <c r="F1170" s="4">
        <v>314</v>
      </c>
      <c r="G1170" s="5">
        <v>99.999999999999986</v>
      </c>
      <c r="H1170" s="4">
        <v>0</v>
      </c>
    </row>
    <row r="1171" spans="1:8" x14ac:dyDescent="0.2">
      <c r="A1171" s="2" t="s">
        <v>74</v>
      </c>
      <c r="B1171" s="4">
        <v>0</v>
      </c>
      <c r="C1171" s="5">
        <v>0</v>
      </c>
      <c r="D1171" s="4">
        <v>0</v>
      </c>
      <c r="E1171" s="5">
        <v>0</v>
      </c>
      <c r="F1171" s="4">
        <v>0</v>
      </c>
      <c r="G1171" s="5">
        <v>0</v>
      </c>
      <c r="H1171" s="4">
        <v>0</v>
      </c>
    </row>
    <row r="1172" spans="1:8" x14ac:dyDescent="0.2">
      <c r="A1172" s="2" t="s">
        <v>75</v>
      </c>
      <c r="B1172" s="4">
        <v>143</v>
      </c>
      <c r="C1172" s="5">
        <v>23.06</v>
      </c>
      <c r="D1172" s="4">
        <v>51</v>
      </c>
      <c r="E1172" s="5">
        <v>16.829999999999998</v>
      </c>
      <c r="F1172" s="4">
        <v>92</v>
      </c>
      <c r="G1172" s="5">
        <v>29.3</v>
      </c>
      <c r="H1172" s="4">
        <v>0</v>
      </c>
    </row>
    <row r="1173" spans="1:8" x14ac:dyDescent="0.2">
      <c r="A1173" s="2" t="s">
        <v>76</v>
      </c>
      <c r="B1173" s="4">
        <v>123</v>
      </c>
      <c r="C1173" s="5">
        <v>19.84</v>
      </c>
      <c r="D1173" s="4">
        <v>39</v>
      </c>
      <c r="E1173" s="5">
        <v>12.87</v>
      </c>
      <c r="F1173" s="4">
        <v>84</v>
      </c>
      <c r="G1173" s="5">
        <v>26.75</v>
      </c>
      <c r="H1173" s="4">
        <v>0</v>
      </c>
    </row>
    <row r="1174" spans="1:8" x14ac:dyDescent="0.2">
      <c r="A1174" s="2" t="s">
        <v>77</v>
      </c>
      <c r="B1174" s="4">
        <v>2</v>
      </c>
      <c r="C1174" s="5">
        <v>0.32</v>
      </c>
      <c r="D1174" s="4">
        <v>1</v>
      </c>
      <c r="E1174" s="5">
        <v>0.33</v>
      </c>
      <c r="F1174" s="4">
        <v>0</v>
      </c>
      <c r="G1174" s="5">
        <v>0</v>
      </c>
      <c r="H1174" s="4">
        <v>0</v>
      </c>
    </row>
    <row r="1175" spans="1:8" x14ac:dyDescent="0.2">
      <c r="A1175" s="2" t="s">
        <v>78</v>
      </c>
      <c r="B1175" s="4">
        <v>3</v>
      </c>
      <c r="C1175" s="5">
        <v>0.48</v>
      </c>
      <c r="D1175" s="4">
        <v>2</v>
      </c>
      <c r="E1175" s="5">
        <v>0.66</v>
      </c>
      <c r="F1175" s="4">
        <v>1</v>
      </c>
      <c r="G1175" s="5">
        <v>0.32</v>
      </c>
      <c r="H1175" s="4">
        <v>0</v>
      </c>
    </row>
    <row r="1176" spans="1:8" x14ac:dyDescent="0.2">
      <c r="A1176" s="2" t="s">
        <v>79</v>
      </c>
      <c r="B1176" s="4">
        <v>12</v>
      </c>
      <c r="C1176" s="5">
        <v>1.94</v>
      </c>
      <c r="D1176" s="4">
        <v>2</v>
      </c>
      <c r="E1176" s="5">
        <v>0.66</v>
      </c>
      <c r="F1176" s="4">
        <v>10</v>
      </c>
      <c r="G1176" s="5">
        <v>3.18</v>
      </c>
      <c r="H1176" s="4">
        <v>0</v>
      </c>
    </row>
    <row r="1177" spans="1:8" x14ac:dyDescent="0.2">
      <c r="A1177" s="2" t="s">
        <v>80</v>
      </c>
      <c r="B1177" s="4">
        <v>97</v>
      </c>
      <c r="C1177" s="5">
        <v>15.65</v>
      </c>
      <c r="D1177" s="4">
        <v>40</v>
      </c>
      <c r="E1177" s="5">
        <v>13.2</v>
      </c>
      <c r="F1177" s="4">
        <v>57</v>
      </c>
      <c r="G1177" s="5">
        <v>18.149999999999999</v>
      </c>
      <c r="H1177" s="4">
        <v>0</v>
      </c>
    </row>
    <row r="1178" spans="1:8" x14ac:dyDescent="0.2">
      <c r="A1178" s="2" t="s">
        <v>81</v>
      </c>
      <c r="B1178" s="4">
        <v>2</v>
      </c>
      <c r="C1178" s="5">
        <v>0.32</v>
      </c>
      <c r="D1178" s="4">
        <v>0</v>
      </c>
      <c r="E1178" s="5">
        <v>0</v>
      </c>
      <c r="F1178" s="4">
        <v>2</v>
      </c>
      <c r="G1178" s="5">
        <v>0.64</v>
      </c>
      <c r="H1178" s="4">
        <v>0</v>
      </c>
    </row>
    <row r="1179" spans="1:8" x14ac:dyDescent="0.2">
      <c r="A1179" s="2" t="s">
        <v>82</v>
      </c>
      <c r="B1179" s="4">
        <v>72</v>
      </c>
      <c r="C1179" s="5">
        <v>11.61</v>
      </c>
      <c r="D1179" s="4">
        <v>51</v>
      </c>
      <c r="E1179" s="5">
        <v>16.829999999999998</v>
      </c>
      <c r="F1179" s="4">
        <v>21</v>
      </c>
      <c r="G1179" s="5">
        <v>6.69</v>
      </c>
      <c r="H1179" s="4">
        <v>0</v>
      </c>
    </row>
    <row r="1180" spans="1:8" x14ac:dyDescent="0.2">
      <c r="A1180" s="2" t="s">
        <v>83</v>
      </c>
      <c r="B1180" s="4">
        <v>14</v>
      </c>
      <c r="C1180" s="5">
        <v>2.2599999999999998</v>
      </c>
      <c r="D1180" s="4">
        <v>6</v>
      </c>
      <c r="E1180" s="5">
        <v>1.98</v>
      </c>
      <c r="F1180" s="4">
        <v>8</v>
      </c>
      <c r="G1180" s="5">
        <v>2.5499999999999998</v>
      </c>
      <c r="H1180" s="4">
        <v>0</v>
      </c>
    </row>
    <row r="1181" spans="1:8" x14ac:dyDescent="0.2">
      <c r="A1181" s="2" t="s">
        <v>84</v>
      </c>
      <c r="B1181" s="4">
        <v>40</v>
      </c>
      <c r="C1181" s="5">
        <v>6.45</v>
      </c>
      <c r="D1181" s="4">
        <v>31</v>
      </c>
      <c r="E1181" s="5">
        <v>10.23</v>
      </c>
      <c r="F1181" s="4">
        <v>9</v>
      </c>
      <c r="G1181" s="5">
        <v>2.87</v>
      </c>
      <c r="H1181" s="4">
        <v>0</v>
      </c>
    </row>
    <row r="1182" spans="1:8" x14ac:dyDescent="0.2">
      <c r="A1182" s="2" t="s">
        <v>85</v>
      </c>
      <c r="B1182" s="4">
        <v>55</v>
      </c>
      <c r="C1182" s="5">
        <v>8.8699999999999992</v>
      </c>
      <c r="D1182" s="4">
        <v>44</v>
      </c>
      <c r="E1182" s="5">
        <v>14.52</v>
      </c>
      <c r="F1182" s="4">
        <v>10</v>
      </c>
      <c r="G1182" s="5">
        <v>3.18</v>
      </c>
      <c r="H1182" s="4">
        <v>0</v>
      </c>
    </row>
    <row r="1183" spans="1:8" x14ac:dyDescent="0.2">
      <c r="A1183" s="2" t="s">
        <v>86</v>
      </c>
      <c r="B1183" s="4">
        <v>14</v>
      </c>
      <c r="C1183" s="5">
        <v>2.2599999999999998</v>
      </c>
      <c r="D1183" s="4">
        <v>11</v>
      </c>
      <c r="E1183" s="5">
        <v>3.63</v>
      </c>
      <c r="F1183" s="4">
        <v>2</v>
      </c>
      <c r="G1183" s="5">
        <v>0.64</v>
      </c>
      <c r="H1183" s="4">
        <v>0</v>
      </c>
    </row>
    <row r="1184" spans="1:8" x14ac:dyDescent="0.2">
      <c r="A1184" s="2" t="s">
        <v>87</v>
      </c>
      <c r="B1184" s="4">
        <v>15</v>
      </c>
      <c r="C1184" s="5">
        <v>2.42</v>
      </c>
      <c r="D1184" s="4">
        <v>9</v>
      </c>
      <c r="E1184" s="5">
        <v>2.97</v>
      </c>
      <c r="F1184" s="4">
        <v>6</v>
      </c>
      <c r="G1184" s="5">
        <v>1.91</v>
      </c>
      <c r="H1184" s="4">
        <v>0</v>
      </c>
    </row>
    <row r="1185" spans="1:8" x14ac:dyDescent="0.2">
      <c r="A1185" s="2" t="s">
        <v>88</v>
      </c>
      <c r="B1185" s="4">
        <v>28</v>
      </c>
      <c r="C1185" s="5">
        <v>4.5199999999999996</v>
      </c>
      <c r="D1185" s="4">
        <v>16</v>
      </c>
      <c r="E1185" s="5">
        <v>5.28</v>
      </c>
      <c r="F1185" s="4">
        <v>12</v>
      </c>
      <c r="G1185" s="5">
        <v>3.82</v>
      </c>
      <c r="H1185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981E2-48DC-4776-90DA-8379F8E9F581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287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262</v>
      </c>
      <c r="D6" s="8">
        <v>14.54</v>
      </c>
      <c r="E6" s="12">
        <v>120</v>
      </c>
      <c r="F6" s="8">
        <v>12.18</v>
      </c>
      <c r="G6" s="12">
        <v>142</v>
      </c>
      <c r="H6" s="8">
        <v>17.86</v>
      </c>
      <c r="I6" s="12">
        <v>0</v>
      </c>
    </row>
    <row r="7" spans="2:9" ht="15" customHeight="1" x14ac:dyDescent="0.2">
      <c r="B7" t="s">
        <v>76</v>
      </c>
      <c r="C7" s="12">
        <v>240</v>
      </c>
      <c r="D7" s="8">
        <v>13.32</v>
      </c>
      <c r="E7" s="12">
        <v>110</v>
      </c>
      <c r="F7" s="8">
        <v>11.17</v>
      </c>
      <c r="G7" s="12">
        <v>130</v>
      </c>
      <c r="H7" s="8">
        <v>16.350000000000001</v>
      </c>
      <c r="I7" s="12">
        <v>0</v>
      </c>
    </row>
    <row r="8" spans="2:9" ht="15" customHeight="1" x14ac:dyDescent="0.2">
      <c r="B8" t="s">
        <v>77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0.13</v>
      </c>
      <c r="I8" s="12">
        <v>0</v>
      </c>
    </row>
    <row r="9" spans="2:9" ht="15" customHeight="1" x14ac:dyDescent="0.2">
      <c r="B9" t="s">
        <v>78</v>
      </c>
      <c r="C9" s="12">
        <v>15</v>
      </c>
      <c r="D9" s="8">
        <v>0.83</v>
      </c>
      <c r="E9" s="12">
        <v>1</v>
      </c>
      <c r="F9" s="8">
        <v>0.1</v>
      </c>
      <c r="G9" s="12">
        <v>14</v>
      </c>
      <c r="H9" s="8">
        <v>1.76</v>
      </c>
      <c r="I9" s="12">
        <v>0</v>
      </c>
    </row>
    <row r="10" spans="2:9" ht="15" customHeight="1" x14ac:dyDescent="0.2">
      <c r="B10" t="s">
        <v>79</v>
      </c>
      <c r="C10" s="12">
        <v>20</v>
      </c>
      <c r="D10" s="8">
        <v>1.1100000000000001</v>
      </c>
      <c r="E10" s="12">
        <v>1</v>
      </c>
      <c r="F10" s="8">
        <v>0.1</v>
      </c>
      <c r="G10" s="12">
        <v>19</v>
      </c>
      <c r="H10" s="8">
        <v>2.39</v>
      </c>
      <c r="I10" s="12">
        <v>0</v>
      </c>
    </row>
    <row r="11" spans="2:9" ht="15" customHeight="1" x14ac:dyDescent="0.2">
      <c r="B11" t="s">
        <v>80</v>
      </c>
      <c r="C11" s="12">
        <v>424</v>
      </c>
      <c r="D11" s="8">
        <v>23.53</v>
      </c>
      <c r="E11" s="12">
        <v>195</v>
      </c>
      <c r="F11" s="8">
        <v>19.8</v>
      </c>
      <c r="G11" s="12">
        <v>229</v>
      </c>
      <c r="H11" s="8">
        <v>28.81</v>
      </c>
      <c r="I11" s="12">
        <v>0</v>
      </c>
    </row>
    <row r="12" spans="2:9" ht="15" customHeight="1" x14ac:dyDescent="0.2">
      <c r="B12" t="s">
        <v>81</v>
      </c>
      <c r="C12" s="12">
        <v>4</v>
      </c>
      <c r="D12" s="8">
        <v>0.22</v>
      </c>
      <c r="E12" s="12">
        <v>0</v>
      </c>
      <c r="F12" s="8">
        <v>0</v>
      </c>
      <c r="G12" s="12">
        <v>3</v>
      </c>
      <c r="H12" s="8">
        <v>0.38</v>
      </c>
      <c r="I12" s="12">
        <v>0</v>
      </c>
    </row>
    <row r="13" spans="2:9" ht="15" customHeight="1" x14ac:dyDescent="0.2">
      <c r="B13" t="s">
        <v>82</v>
      </c>
      <c r="C13" s="12">
        <v>115</v>
      </c>
      <c r="D13" s="8">
        <v>6.38</v>
      </c>
      <c r="E13" s="12">
        <v>29</v>
      </c>
      <c r="F13" s="8">
        <v>2.94</v>
      </c>
      <c r="G13" s="12">
        <v>86</v>
      </c>
      <c r="H13" s="8">
        <v>10.82</v>
      </c>
      <c r="I13" s="12">
        <v>0</v>
      </c>
    </row>
    <row r="14" spans="2:9" ht="15" customHeight="1" x14ac:dyDescent="0.2">
      <c r="B14" t="s">
        <v>83</v>
      </c>
      <c r="C14" s="12">
        <v>72</v>
      </c>
      <c r="D14" s="8">
        <v>4</v>
      </c>
      <c r="E14" s="12">
        <v>41</v>
      </c>
      <c r="F14" s="8">
        <v>4.16</v>
      </c>
      <c r="G14" s="12">
        <v>31</v>
      </c>
      <c r="H14" s="8">
        <v>3.9</v>
      </c>
      <c r="I14" s="12">
        <v>0</v>
      </c>
    </row>
    <row r="15" spans="2:9" ht="15" customHeight="1" x14ac:dyDescent="0.2">
      <c r="B15" t="s">
        <v>84</v>
      </c>
      <c r="C15" s="12">
        <v>181</v>
      </c>
      <c r="D15" s="8">
        <v>10.039999999999999</v>
      </c>
      <c r="E15" s="12">
        <v>151</v>
      </c>
      <c r="F15" s="8">
        <v>15.33</v>
      </c>
      <c r="G15" s="12">
        <v>29</v>
      </c>
      <c r="H15" s="8">
        <v>3.65</v>
      </c>
      <c r="I15" s="12">
        <v>0</v>
      </c>
    </row>
    <row r="16" spans="2:9" ht="15" customHeight="1" x14ac:dyDescent="0.2">
      <c r="B16" t="s">
        <v>85</v>
      </c>
      <c r="C16" s="12">
        <v>232</v>
      </c>
      <c r="D16" s="8">
        <v>12.87</v>
      </c>
      <c r="E16" s="12">
        <v>193</v>
      </c>
      <c r="F16" s="8">
        <v>19.59</v>
      </c>
      <c r="G16" s="12">
        <v>39</v>
      </c>
      <c r="H16" s="8">
        <v>4.91</v>
      </c>
      <c r="I16" s="12">
        <v>0</v>
      </c>
    </row>
    <row r="17" spans="2:9" ht="15" customHeight="1" x14ac:dyDescent="0.2">
      <c r="B17" t="s">
        <v>86</v>
      </c>
      <c r="C17" s="12">
        <v>69</v>
      </c>
      <c r="D17" s="8">
        <v>3.83</v>
      </c>
      <c r="E17" s="12">
        <v>48</v>
      </c>
      <c r="F17" s="8">
        <v>4.87</v>
      </c>
      <c r="G17" s="12">
        <v>9</v>
      </c>
      <c r="H17" s="8">
        <v>1.1299999999999999</v>
      </c>
      <c r="I17" s="12">
        <v>0</v>
      </c>
    </row>
    <row r="18" spans="2:9" ht="15" customHeight="1" x14ac:dyDescent="0.2">
      <c r="B18" t="s">
        <v>87</v>
      </c>
      <c r="C18" s="12">
        <v>87</v>
      </c>
      <c r="D18" s="8">
        <v>4.83</v>
      </c>
      <c r="E18" s="12">
        <v>52</v>
      </c>
      <c r="F18" s="8">
        <v>5.28</v>
      </c>
      <c r="G18" s="12">
        <v>33</v>
      </c>
      <c r="H18" s="8">
        <v>4.1500000000000004</v>
      </c>
      <c r="I18" s="12">
        <v>0</v>
      </c>
    </row>
    <row r="19" spans="2:9" ht="15" customHeight="1" x14ac:dyDescent="0.2">
      <c r="B19" t="s">
        <v>88</v>
      </c>
      <c r="C19" s="12">
        <v>80</v>
      </c>
      <c r="D19" s="8">
        <v>4.4400000000000004</v>
      </c>
      <c r="E19" s="12">
        <v>44</v>
      </c>
      <c r="F19" s="8">
        <v>4.47</v>
      </c>
      <c r="G19" s="12">
        <v>30</v>
      </c>
      <c r="H19" s="8">
        <v>3.77</v>
      </c>
      <c r="I19" s="12">
        <v>1</v>
      </c>
    </row>
    <row r="20" spans="2:9" ht="15" customHeight="1" x14ac:dyDescent="0.2">
      <c r="B20" s="9" t="s">
        <v>269</v>
      </c>
      <c r="C20" s="12">
        <f>SUM(LTBL_11206[総数／事業所数])</f>
        <v>1802</v>
      </c>
      <c r="E20" s="12">
        <f>SUBTOTAL(109,LTBL_11206[個人／事業所数])</f>
        <v>985</v>
      </c>
      <c r="G20" s="12">
        <f>SUBTOTAL(109,LTBL_11206[法人／事業所数])</f>
        <v>795</v>
      </c>
      <c r="I20" s="12">
        <f>SUBTOTAL(109,LTBL_11206[法人以外の団体／事業所数])</f>
        <v>1</v>
      </c>
    </row>
    <row r="21" spans="2:9" ht="15" customHeight="1" x14ac:dyDescent="0.2">
      <c r="E21" s="11">
        <f>LTBL_11206[[#Totals],[個人／事業所数]]/LTBL_11206[[#Totals],[総数／事業所数]]</f>
        <v>0.54661487236403994</v>
      </c>
      <c r="G21" s="11">
        <f>LTBL_11206[[#Totals],[法人／事業所数]]/LTBL_11206[[#Totals],[総数／事業所数]]</f>
        <v>0.44117647058823528</v>
      </c>
      <c r="I21" s="11">
        <f>LTBL_11206[[#Totals],[法人以外の団体／事業所数]]/LTBL_11206[[#Totals],[総数／事業所数]]</f>
        <v>5.5493895671476139E-4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204</v>
      </c>
      <c r="D24" s="8">
        <v>11.32</v>
      </c>
      <c r="E24" s="12">
        <v>177</v>
      </c>
      <c r="F24" s="8">
        <v>17.97</v>
      </c>
      <c r="G24" s="12">
        <v>27</v>
      </c>
      <c r="H24" s="8">
        <v>3.4</v>
      </c>
      <c r="I24" s="12">
        <v>0</v>
      </c>
    </row>
    <row r="25" spans="2:9" ht="15" customHeight="1" x14ac:dyDescent="0.2">
      <c r="B25" t="s">
        <v>111</v>
      </c>
      <c r="C25" s="12">
        <v>165</v>
      </c>
      <c r="D25" s="8">
        <v>9.16</v>
      </c>
      <c r="E25" s="12">
        <v>142</v>
      </c>
      <c r="F25" s="8">
        <v>14.42</v>
      </c>
      <c r="G25" s="12">
        <v>23</v>
      </c>
      <c r="H25" s="8">
        <v>2.89</v>
      </c>
      <c r="I25" s="12">
        <v>0</v>
      </c>
    </row>
    <row r="26" spans="2:9" ht="15" customHeight="1" x14ac:dyDescent="0.2">
      <c r="B26" t="s">
        <v>98</v>
      </c>
      <c r="C26" s="12">
        <v>111</v>
      </c>
      <c r="D26" s="8">
        <v>6.16</v>
      </c>
      <c r="E26" s="12">
        <v>59</v>
      </c>
      <c r="F26" s="8">
        <v>5.99</v>
      </c>
      <c r="G26" s="12">
        <v>52</v>
      </c>
      <c r="H26" s="8">
        <v>6.54</v>
      </c>
      <c r="I26" s="12">
        <v>0</v>
      </c>
    </row>
    <row r="27" spans="2:9" ht="15" customHeight="1" x14ac:dyDescent="0.2">
      <c r="B27" t="s">
        <v>106</v>
      </c>
      <c r="C27" s="12">
        <v>103</v>
      </c>
      <c r="D27" s="8">
        <v>5.72</v>
      </c>
      <c r="E27" s="12">
        <v>47</v>
      </c>
      <c r="F27" s="8">
        <v>4.7699999999999996</v>
      </c>
      <c r="G27" s="12">
        <v>56</v>
      </c>
      <c r="H27" s="8">
        <v>7.04</v>
      </c>
      <c r="I27" s="12">
        <v>0</v>
      </c>
    </row>
    <row r="28" spans="2:9" ht="15" customHeight="1" x14ac:dyDescent="0.2">
      <c r="B28" t="s">
        <v>97</v>
      </c>
      <c r="C28" s="12">
        <v>87</v>
      </c>
      <c r="D28" s="8">
        <v>4.83</v>
      </c>
      <c r="E28" s="12">
        <v>39</v>
      </c>
      <c r="F28" s="8">
        <v>3.96</v>
      </c>
      <c r="G28" s="12">
        <v>48</v>
      </c>
      <c r="H28" s="8">
        <v>6.04</v>
      </c>
      <c r="I28" s="12">
        <v>0</v>
      </c>
    </row>
    <row r="29" spans="2:9" ht="15" customHeight="1" x14ac:dyDescent="0.2">
      <c r="B29" t="s">
        <v>108</v>
      </c>
      <c r="C29" s="12">
        <v>85</v>
      </c>
      <c r="D29" s="8">
        <v>4.72</v>
      </c>
      <c r="E29" s="12">
        <v>27</v>
      </c>
      <c r="F29" s="8">
        <v>2.74</v>
      </c>
      <c r="G29" s="12">
        <v>58</v>
      </c>
      <c r="H29" s="8">
        <v>7.3</v>
      </c>
      <c r="I29" s="12">
        <v>0</v>
      </c>
    </row>
    <row r="30" spans="2:9" ht="15" customHeight="1" x14ac:dyDescent="0.2">
      <c r="B30" t="s">
        <v>104</v>
      </c>
      <c r="C30" s="12">
        <v>78</v>
      </c>
      <c r="D30" s="8">
        <v>4.33</v>
      </c>
      <c r="E30" s="12">
        <v>55</v>
      </c>
      <c r="F30" s="8">
        <v>5.58</v>
      </c>
      <c r="G30" s="12">
        <v>23</v>
      </c>
      <c r="H30" s="8">
        <v>2.89</v>
      </c>
      <c r="I30" s="12">
        <v>0</v>
      </c>
    </row>
    <row r="31" spans="2:9" ht="15" customHeight="1" x14ac:dyDescent="0.2">
      <c r="B31" t="s">
        <v>105</v>
      </c>
      <c r="C31" s="12">
        <v>72</v>
      </c>
      <c r="D31" s="8">
        <v>4</v>
      </c>
      <c r="E31" s="12">
        <v>43</v>
      </c>
      <c r="F31" s="8">
        <v>4.37</v>
      </c>
      <c r="G31" s="12">
        <v>29</v>
      </c>
      <c r="H31" s="8">
        <v>3.65</v>
      </c>
      <c r="I31" s="12">
        <v>0</v>
      </c>
    </row>
    <row r="32" spans="2:9" ht="15" customHeight="1" x14ac:dyDescent="0.2">
      <c r="B32" t="s">
        <v>114</v>
      </c>
      <c r="C32" s="12">
        <v>69</v>
      </c>
      <c r="D32" s="8">
        <v>3.83</v>
      </c>
      <c r="E32" s="12">
        <v>48</v>
      </c>
      <c r="F32" s="8">
        <v>4.87</v>
      </c>
      <c r="G32" s="12">
        <v>9</v>
      </c>
      <c r="H32" s="8">
        <v>1.1299999999999999</v>
      </c>
      <c r="I32" s="12">
        <v>0</v>
      </c>
    </row>
    <row r="33" spans="2:9" ht="15" customHeight="1" x14ac:dyDescent="0.2">
      <c r="B33" t="s">
        <v>99</v>
      </c>
      <c r="C33" s="12">
        <v>64</v>
      </c>
      <c r="D33" s="8">
        <v>3.55</v>
      </c>
      <c r="E33" s="12">
        <v>22</v>
      </c>
      <c r="F33" s="8">
        <v>2.23</v>
      </c>
      <c r="G33" s="12">
        <v>42</v>
      </c>
      <c r="H33" s="8">
        <v>5.28</v>
      </c>
      <c r="I33" s="12">
        <v>0</v>
      </c>
    </row>
    <row r="34" spans="2:9" ht="15" customHeight="1" x14ac:dyDescent="0.2">
      <c r="B34" t="s">
        <v>127</v>
      </c>
      <c r="C34" s="12">
        <v>60</v>
      </c>
      <c r="D34" s="8">
        <v>3.33</v>
      </c>
      <c r="E34" s="12">
        <v>40</v>
      </c>
      <c r="F34" s="8">
        <v>4.0599999999999996</v>
      </c>
      <c r="G34" s="12">
        <v>20</v>
      </c>
      <c r="H34" s="8">
        <v>2.52</v>
      </c>
      <c r="I34" s="12">
        <v>0</v>
      </c>
    </row>
    <row r="35" spans="2:9" ht="15" customHeight="1" x14ac:dyDescent="0.2">
      <c r="B35" t="s">
        <v>115</v>
      </c>
      <c r="C35" s="12">
        <v>55</v>
      </c>
      <c r="D35" s="8">
        <v>3.05</v>
      </c>
      <c r="E35" s="12">
        <v>50</v>
      </c>
      <c r="F35" s="8">
        <v>5.08</v>
      </c>
      <c r="G35" s="12">
        <v>5</v>
      </c>
      <c r="H35" s="8">
        <v>0.63</v>
      </c>
      <c r="I35" s="12">
        <v>0</v>
      </c>
    </row>
    <row r="36" spans="2:9" ht="15" customHeight="1" x14ac:dyDescent="0.2">
      <c r="B36" t="s">
        <v>116</v>
      </c>
      <c r="C36" s="12">
        <v>46</v>
      </c>
      <c r="D36" s="8">
        <v>2.5499999999999998</v>
      </c>
      <c r="E36" s="12">
        <v>36</v>
      </c>
      <c r="F36" s="8">
        <v>3.65</v>
      </c>
      <c r="G36" s="12">
        <v>10</v>
      </c>
      <c r="H36" s="8">
        <v>1.26</v>
      </c>
      <c r="I36" s="12">
        <v>0</v>
      </c>
    </row>
    <row r="37" spans="2:9" ht="15" customHeight="1" x14ac:dyDescent="0.2">
      <c r="B37" t="s">
        <v>110</v>
      </c>
      <c r="C37" s="12">
        <v>37</v>
      </c>
      <c r="D37" s="8">
        <v>2.0499999999999998</v>
      </c>
      <c r="E37" s="12">
        <v>15</v>
      </c>
      <c r="F37" s="8">
        <v>1.52</v>
      </c>
      <c r="G37" s="12">
        <v>22</v>
      </c>
      <c r="H37" s="8">
        <v>2.77</v>
      </c>
      <c r="I37" s="12">
        <v>0</v>
      </c>
    </row>
    <row r="38" spans="2:9" ht="15" customHeight="1" x14ac:dyDescent="0.2">
      <c r="B38" t="s">
        <v>101</v>
      </c>
      <c r="C38" s="12">
        <v>35</v>
      </c>
      <c r="D38" s="8">
        <v>1.94</v>
      </c>
      <c r="E38" s="12">
        <v>11</v>
      </c>
      <c r="F38" s="8">
        <v>1.1200000000000001</v>
      </c>
      <c r="G38" s="12">
        <v>24</v>
      </c>
      <c r="H38" s="8">
        <v>3.02</v>
      </c>
      <c r="I38" s="12">
        <v>0</v>
      </c>
    </row>
    <row r="39" spans="2:9" ht="15" customHeight="1" x14ac:dyDescent="0.2">
      <c r="B39" t="s">
        <v>103</v>
      </c>
      <c r="C39" s="12">
        <v>33</v>
      </c>
      <c r="D39" s="8">
        <v>1.83</v>
      </c>
      <c r="E39" s="12">
        <v>18</v>
      </c>
      <c r="F39" s="8">
        <v>1.83</v>
      </c>
      <c r="G39" s="12">
        <v>15</v>
      </c>
      <c r="H39" s="8">
        <v>1.89</v>
      </c>
      <c r="I39" s="12">
        <v>0</v>
      </c>
    </row>
    <row r="40" spans="2:9" ht="15" customHeight="1" x14ac:dyDescent="0.2">
      <c r="B40" t="s">
        <v>109</v>
      </c>
      <c r="C40" s="12">
        <v>33</v>
      </c>
      <c r="D40" s="8">
        <v>1.83</v>
      </c>
      <c r="E40" s="12">
        <v>26</v>
      </c>
      <c r="F40" s="8">
        <v>2.64</v>
      </c>
      <c r="G40" s="12">
        <v>7</v>
      </c>
      <c r="H40" s="8">
        <v>0.88</v>
      </c>
      <c r="I40" s="12">
        <v>0</v>
      </c>
    </row>
    <row r="41" spans="2:9" ht="15" customHeight="1" x14ac:dyDescent="0.2">
      <c r="B41" t="s">
        <v>118</v>
      </c>
      <c r="C41" s="12">
        <v>32</v>
      </c>
      <c r="D41" s="8">
        <v>1.78</v>
      </c>
      <c r="E41" s="12">
        <v>2</v>
      </c>
      <c r="F41" s="8">
        <v>0.2</v>
      </c>
      <c r="G41" s="12">
        <v>28</v>
      </c>
      <c r="H41" s="8">
        <v>3.52</v>
      </c>
      <c r="I41" s="12">
        <v>0</v>
      </c>
    </row>
    <row r="42" spans="2:9" ht="15" customHeight="1" x14ac:dyDescent="0.2">
      <c r="B42" t="s">
        <v>113</v>
      </c>
      <c r="C42" s="12">
        <v>25</v>
      </c>
      <c r="D42" s="8">
        <v>1.39</v>
      </c>
      <c r="E42" s="12">
        <v>13</v>
      </c>
      <c r="F42" s="8">
        <v>1.32</v>
      </c>
      <c r="G42" s="12">
        <v>12</v>
      </c>
      <c r="H42" s="8">
        <v>1.51</v>
      </c>
      <c r="I42" s="12">
        <v>0</v>
      </c>
    </row>
    <row r="43" spans="2:9" ht="15" customHeight="1" x14ac:dyDescent="0.2">
      <c r="B43" t="s">
        <v>128</v>
      </c>
      <c r="C43" s="12">
        <v>24</v>
      </c>
      <c r="D43" s="8">
        <v>1.33</v>
      </c>
      <c r="E43" s="12">
        <v>11</v>
      </c>
      <c r="F43" s="8">
        <v>1.1200000000000001</v>
      </c>
      <c r="G43" s="12">
        <v>13</v>
      </c>
      <c r="H43" s="8">
        <v>1.64</v>
      </c>
      <c r="I43" s="12">
        <v>0</v>
      </c>
    </row>
    <row r="44" spans="2:9" ht="15" customHeight="1" x14ac:dyDescent="0.2">
      <c r="B44" t="s">
        <v>102</v>
      </c>
      <c r="C44" s="12">
        <v>24</v>
      </c>
      <c r="D44" s="8">
        <v>1.33</v>
      </c>
      <c r="E44" s="12">
        <v>4</v>
      </c>
      <c r="F44" s="8">
        <v>0.41</v>
      </c>
      <c r="G44" s="12">
        <v>20</v>
      </c>
      <c r="H44" s="8">
        <v>2.52</v>
      </c>
      <c r="I44" s="12">
        <v>0</v>
      </c>
    </row>
    <row r="45" spans="2:9" ht="15" customHeight="1" x14ac:dyDescent="0.2">
      <c r="B45" t="s">
        <v>117</v>
      </c>
      <c r="C45" s="12">
        <v>24</v>
      </c>
      <c r="D45" s="8">
        <v>1.33</v>
      </c>
      <c r="E45" s="12">
        <v>5</v>
      </c>
      <c r="F45" s="8">
        <v>0.51</v>
      </c>
      <c r="G45" s="12">
        <v>19</v>
      </c>
      <c r="H45" s="8">
        <v>2.39</v>
      </c>
      <c r="I45" s="12">
        <v>0</v>
      </c>
    </row>
    <row r="46" spans="2:9" ht="15" customHeight="1" x14ac:dyDescent="0.2">
      <c r="B46" t="s">
        <v>107</v>
      </c>
      <c r="C46" s="12">
        <v>24</v>
      </c>
      <c r="D46" s="8">
        <v>1.33</v>
      </c>
      <c r="E46" s="12">
        <v>2</v>
      </c>
      <c r="F46" s="8">
        <v>0.2</v>
      </c>
      <c r="G46" s="12">
        <v>22</v>
      </c>
      <c r="H46" s="8">
        <v>2.77</v>
      </c>
      <c r="I46" s="12">
        <v>0</v>
      </c>
    </row>
    <row r="49" spans="2:9" ht="33" customHeight="1" x14ac:dyDescent="0.2">
      <c r="B49" t="s">
        <v>271</v>
      </c>
      <c r="C49" s="10" t="s">
        <v>90</v>
      </c>
      <c r="D49" s="10" t="s">
        <v>91</v>
      </c>
      <c r="E49" s="10" t="s">
        <v>92</v>
      </c>
      <c r="F49" s="10" t="s">
        <v>93</v>
      </c>
      <c r="G49" s="10" t="s">
        <v>94</v>
      </c>
      <c r="H49" s="10" t="s">
        <v>95</v>
      </c>
      <c r="I49" s="10" t="s">
        <v>96</v>
      </c>
    </row>
    <row r="50" spans="2:9" ht="15" customHeight="1" x14ac:dyDescent="0.2">
      <c r="B50" t="s">
        <v>173</v>
      </c>
      <c r="C50" s="12">
        <v>99</v>
      </c>
      <c r="D50" s="8">
        <v>5.49</v>
      </c>
      <c r="E50" s="12">
        <v>90</v>
      </c>
      <c r="F50" s="8">
        <v>9.14</v>
      </c>
      <c r="G50" s="12">
        <v>9</v>
      </c>
      <c r="H50" s="8">
        <v>1.1299999999999999</v>
      </c>
      <c r="I50" s="12">
        <v>0</v>
      </c>
    </row>
    <row r="51" spans="2:9" ht="15" customHeight="1" x14ac:dyDescent="0.2">
      <c r="B51" t="s">
        <v>172</v>
      </c>
      <c r="C51" s="12">
        <v>66</v>
      </c>
      <c r="D51" s="8">
        <v>3.66</v>
      </c>
      <c r="E51" s="12">
        <v>64</v>
      </c>
      <c r="F51" s="8">
        <v>6.5</v>
      </c>
      <c r="G51" s="12">
        <v>2</v>
      </c>
      <c r="H51" s="8">
        <v>0.25</v>
      </c>
      <c r="I51" s="12">
        <v>0</v>
      </c>
    </row>
    <row r="52" spans="2:9" ht="15" customHeight="1" x14ac:dyDescent="0.2">
      <c r="B52" t="s">
        <v>169</v>
      </c>
      <c r="C52" s="12">
        <v>56</v>
      </c>
      <c r="D52" s="8">
        <v>3.11</v>
      </c>
      <c r="E52" s="12">
        <v>43</v>
      </c>
      <c r="F52" s="8">
        <v>4.37</v>
      </c>
      <c r="G52" s="12">
        <v>13</v>
      </c>
      <c r="H52" s="8">
        <v>1.64</v>
      </c>
      <c r="I52" s="12">
        <v>0</v>
      </c>
    </row>
    <row r="53" spans="2:9" ht="15" customHeight="1" x14ac:dyDescent="0.2">
      <c r="B53" t="s">
        <v>176</v>
      </c>
      <c r="C53" s="12">
        <v>46</v>
      </c>
      <c r="D53" s="8">
        <v>2.5499999999999998</v>
      </c>
      <c r="E53" s="12">
        <v>36</v>
      </c>
      <c r="F53" s="8">
        <v>3.65</v>
      </c>
      <c r="G53" s="12">
        <v>10</v>
      </c>
      <c r="H53" s="8">
        <v>1.26</v>
      </c>
      <c r="I53" s="12">
        <v>0</v>
      </c>
    </row>
    <row r="54" spans="2:9" ht="15" customHeight="1" x14ac:dyDescent="0.2">
      <c r="B54" t="s">
        <v>163</v>
      </c>
      <c r="C54" s="12">
        <v>40</v>
      </c>
      <c r="D54" s="8">
        <v>2.2200000000000002</v>
      </c>
      <c r="E54" s="12">
        <v>17</v>
      </c>
      <c r="F54" s="8">
        <v>1.73</v>
      </c>
      <c r="G54" s="12">
        <v>23</v>
      </c>
      <c r="H54" s="8">
        <v>2.89</v>
      </c>
      <c r="I54" s="12">
        <v>0</v>
      </c>
    </row>
    <row r="55" spans="2:9" ht="15" customHeight="1" x14ac:dyDescent="0.2">
      <c r="B55" t="s">
        <v>166</v>
      </c>
      <c r="C55" s="12">
        <v>38</v>
      </c>
      <c r="D55" s="8">
        <v>2.11</v>
      </c>
      <c r="E55" s="12">
        <v>6</v>
      </c>
      <c r="F55" s="8">
        <v>0.61</v>
      </c>
      <c r="G55" s="12">
        <v>32</v>
      </c>
      <c r="H55" s="8">
        <v>4.03</v>
      </c>
      <c r="I55" s="12">
        <v>0</v>
      </c>
    </row>
    <row r="56" spans="2:9" ht="15" customHeight="1" x14ac:dyDescent="0.2">
      <c r="B56" t="s">
        <v>175</v>
      </c>
      <c r="C56" s="12">
        <v>38</v>
      </c>
      <c r="D56" s="8">
        <v>2.11</v>
      </c>
      <c r="E56" s="12">
        <v>36</v>
      </c>
      <c r="F56" s="8">
        <v>3.65</v>
      </c>
      <c r="G56" s="12">
        <v>2</v>
      </c>
      <c r="H56" s="8">
        <v>0.25</v>
      </c>
      <c r="I56" s="12">
        <v>0</v>
      </c>
    </row>
    <row r="57" spans="2:9" ht="15" customHeight="1" x14ac:dyDescent="0.2">
      <c r="B57" t="s">
        <v>174</v>
      </c>
      <c r="C57" s="12">
        <v>37</v>
      </c>
      <c r="D57" s="8">
        <v>2.0499999999999998</v>
      </c>
      <c r="E57" s="12">
        <v>32</v>
      </c>
      <c r="F57" s="8">
        <v>3.25</v>
      </c>
      <c r="G57" s="12">
        <v>5</v>
      </c>
      <c r="H57" s="8">
        <v>0.63</v>
      </c>
      <c r="I57" s="12">
        <v>0</v>
      </c>
    </row>
    <row r="58" spans="2:9" ht="15" customHeight="1" x14ac:dyDescent="0.2">
      <c r="B58" t="s">
        <v>162</v>
      </c>
      <c r="C58" s="12">
        <v>34</v>
      </c>
      <c r="D58" s="8">
        <v>1.89</v>
      </c>
      <c r="E58" s="12">
        <v>23</v>
      </c>
      <c r="F58" s="8">
        <v>2.34</v>
      </c>
      <c r="G58" s="12">
        <v>11</v>
      </c>
      <c r="H58" s="8">
        <v>1.38</v>
      </c>
      <c r="I58" s="12">
        <v>0</v>
      </c>
    </row>
    <row r="59" spans="2:9" ht="15" customHeight="1" x14ac:dyDescent="0.2">
      <c r="B59" t="s">
        <v>170</v>
      </c>
      <c r="C59" s="12">
        <v>32</v>
      </c>
      <c r="D59" s="8">
        <v>1.78</v>
      </c>
      <c r="E59" s="12">
        <v>30</v>
      </c>
      <c r="F59" s="8">
        <v>3.05</v>
      </c>
      <c r="G59" s="12">
        <v>2</v>
      </c>
      <c r="H59" s="8">
        <v>0.25</v>
      </c>
      <c r="I59" s="12">
        <v>0</v>
      </c>
    </row>
    <row r="60" spans="2:9" ht="15" customHeight="1" x14ac:dyDescent="0.2">
      <c r="B60" t="s">
        <v>159</v>
      </c>
      <c r="C60" s="12">
        <v>31</v>
      </c>
      <c r="D60" s="8">
        <v>1.72</v>
      </c>
      <c r="E60" s="12">
        <v>25</v>
      </c>
      <c r="F60" s="8">
        <v>2.54</v>
      </c>
      <c r="G60" s="12">
        <v>6</v>
      </c>
      <c r="H60" s="8">
        <v>0.75</v>
      </c>
      <c r="I60" s="12">
        <v>0</v>
      </c>
    </row>
    <row r="61" spans="2:9" ht="15" customHeight="1" x14ac:dyDescent="0.2">
      <c r="B61" t="s">
        <v>160</v>
      </c>
      <c r="C61" s="12">
        <v>29</v>
      </c>
      <c r="D61" s="8">
        <v>1.61</v>
      </c>
      <c r="E61" s="12">
        <v>15</v>
      </c>
      <c r="F61" s="8">
        <v>1.52</v>
      </c>
      <c r="G61" s="12">
        <v>14</v>
      </c>
      <c r="H61" s="8">
        <v>1.76</v>
      </c>
      <c r="I61" s="12">
        <v>0</v>
      </c>
    </row>
    <row r="62" spans="2:9" ht="15" customHeight="1" x14ac:dyDescent="0.2">
      <c r="B62" t="s">
        <v>167</v>
      </c>
      <c r="C62" s="12">
        <v>28</v>
      </c>
      <c r="D62" s="8">
        <v>1.55</v>
      </c>
      <c r="E62" s="12">
        <v>13</v>
      </c>
      <c r="F62" s="8">
        <v>1.32</v>
      </c>
      <c r="G62" s="12">
        <v>15</v>
      </c>
      <c r="H62" s="8">
        <v>1.89</v>
      </c>
      <c r="I62" s="12">
        <v>0</v>
      </c>
    </row>
    <row r="63" spans="2:9" ht="15" customHeight="1" x14ac:dyDescent="0.2">
      <c r="B63" t="s">
        <v>185</v>
      </c>
      <c r="C63" s="12">
        <v>25</v>
      </c>
      <c r="D63" s="8">
        <v>1.39</v>
      </c>
      <c r="E63" s="12">
        <v>6</v>
      </c>
      <c r="F63" s="8">
        <v>0.61</v>
      </c>
      <c r="G63" s="12">
        <v>19</v>
      </c>
      <c r="H63" s="8">
        <v>2.39</v>
      </c>
      <c r="I63" s="12">
        <v>0</v>
      </c>
    </row>
    <row r="64" spans="2:9" ht="15" customHeight="1" x14ac:dyDescent="0.2">
      <c r="B64" t="s">
        <v>182</v>
      </c>
      <c r="C64" s="12">
        <v>24</v>
      </c>
      <c r="D64" s="8">
        <v>1.33</v>
      </c>
      <c r="E64" s="12">
        <v>14</v>
      </c>
      <c r="F64" s="8">
        <v>1.42</v>
      </c>
      <c r="G64" s="12">
        <v>10</v>
      </c>
      <c r="H64" s="8">
        <v>1.26</v>
      </c>
      <c r="I64" s="12">
        <v>0</v>
      </c>
    </row>
    <row r="65" spans="2:9" ht="15" customHeight="1" x14ac:dyDescent="0.2">
      <c r="B65" t="s">
        <v>158</v>
      </c>
      <c r="C65" s="12">
        <v>23</v>
      </c>
      <c r="D65" s="8">
        <v>1.28</v>
      </c>
      <c r="E65" s="12">
        <v>8</v>
      </c>
      <c r="F65" s="8">
        <v>0.81</v>
      </c>
      <c r="G65" s="12">
        <v>15</v>
      </c>
      <c r="H65" s="8">
        <v>1.89</v>
      </c>
      <c r="I65" s="12">
        <v>0</v>
      </c>
    </row>
    <row r="66" spans="2:9" ht="15" customHeight="1" x14ac:dyDescent="0.2">
      <c r="B66" t="s">
        <v>202</v>
      </c>
      <c r="C66" s="12">
        <v>23</v>
      </c>
      <c r="D66" s="8">
        <v>1.28</v>
      </c>
      <c r="E66" s="12">
        <v>17</v>
      </c>
      <c r="F66" s="8">
        <v>1.73</v>
      </c>
      <c r="G66" s="12">
        <v>6</v>
      </c>
      <c r="H66" s="8">
        <v>0.75</v>
      </c>
      <c r="I66" s="12">
        <v>0</v>
      </c>
    </row>
    <row r="67" spans="2:9" ht="15" customHeight="1" x14ac:dyDescent="0.2">
      <c r="B67" t="s">
        <v>203</v>
      </c>
      <c r="C67" s="12">
        <v>23</v>
      </c>
      <c r="D67" s="8">
        <v>1.28</v>
      </c>
      <c r="E67" s="12">
        <v>18</v>
      </c>
      <c r="F67" s="8">
        <v>1.83</v>
      </c>
      <c r="G67" s="12">
        <v>5</v>
      </c>
      <c r="H67" s="8">
        <v>0.63</v>
      </c>
      <c r="I67" s="12">
        <v>0</v>
      </c>
    </row>
    <row r="68" spans="2:9" ht="15" customHeight="1" x14ac:dyDescent="0.2">
      <c r="B68" t="s">
        <v>164</v>
      </c>
      <c r="C68" s="12">
        <v>23</v>
      </c>
      <c r="D68" s="8">
        <v>1.28</v>
      </c>
      <c r="E68" s="12">
        <v>10</v>
      </c>
      <c r="F68" s="8">
        <v>1.02</v>
      </c>
      <c r="G68" s="12">
        <v>13</v>
      </c>
      <c r="H68" s="8">
        <v>1.64</v>
      </c>
      <c r="I68" s="12">
        <v>0</v>
      </c>
    </row>
    <row r="69" spans="2:9" ht="15" customHeight="1" x14ac:dyDescent="0.2">
      <c r="B69" t="s">
        <v>171</v>
      </c>
      <c r="C69" s="12">
        <v>23</v>
      </c>
      <c r="D69" s="8">
        <v>1.28</v>
      </c>
      <c r="E69" s="12">
        <v>15</v>
      </c>
      <c r="F69" s="8">
        <v>1.52</v>
      </c>
      <c r="G69" s="12">
        <v>8</v>
      </c>
      <c r="H69" s="8">
        <v>1.01</v>
      </c>
      <c r="I69" s="12">
        <v>0</v>
      </c>
    </row>
    <row r="71" spans="2:9" ht="15" customHeight="1" x14ac:dyDescent="0.2">
      <c r="B71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E92BA-EA0F-4C84-9AE7-CBDA1D382298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288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3</v>
      </c>
      <c r="D5" s="8">
        <v>0.15</v>
      </c>
      <c r="E5" s="12">
        <v>0</v>
      </c>
      <c r="F5" s="8">
        <v>0</v>
      </c>
      <c r="G5" s="12">
        <v>3</v>
      </c>
      <c r="H5" s="8">
        <v>0.39</v>
      </c>
      <c r="I5" s="12">
        <v>0</v>
      </c>
    </row>
    <row r="6" spans="2:9" ht="15" customHeight="1" x14ac:dyDescent="0.2">
      <c r="B6" t="s">
        <v>75</v>
      </c>
      <c r="C6" s="12">
        <v>296</v>
      </c>
      <c r="D6" s="8">
        <v>14.82</v>
      </c>
      <c r="E6" s="12">
        <v>152</v>
      </c>
      <c r="F6" s="8">
        <v>12.67</v>
      </c>
      <c r="G6" s="12">
        <v>144</v>
      </c>
      <c r="H6" s="8">
        <v>18.75</v>
      </c>
      <c r="I6" s="12">
        <v>0</v>
      </c>
    </row>
    <row r="7" spans="2:9" ht="15" customHeight="1" x14ac:dyDescent="0.2">
      <c r="B7" t="s">
        <v>76</v>
      </c>
      <c r="C7" s="12">
        <v>174</v>
      </c>
      <c r="D7" s="8">
        <v>8.7100000000000009</v>
      </c>
      <c r="E7" s="12">
        <v>77</v>
      </c>
      <c r="F7" s="8">
        <v>6.42</v>
      </c>
      <c r="G7" s="12">
        <v>97</v>
      </c>
      <c r="H7" s="8">
        <v>12.63</v>
      </c>
      <c r="I7" s="12">
        <v>0</v>
      </c>
    </row>
    <row r="8" spans="2:9" ht="15" customHeight="1" x14ac:dyDescent="0.2">
      <c r="B8" t="s">
        <v>77</v>
      </c>
      <c r="C8" s="12">
        <v>2</v>
      </c>
      <c r="D8" s="8">
        <v>0.1</v>
      </c>
      <c r="E8" s="12">
        <v>0</v>
      </c>
      <c r="F8" s="8">
        <v>0</v>
      </c>
      <c r="G8" s="12">
        <v>1</v>
      </c>
      <c r="H8" s="8">
        <v>0.13</v>
      </c>
      <c r="I8" s="12">
        <v>0</v>
      </c>
    </row>
    <row r="9" spans="2:9" ht="15" customHeight="1" x14ac:dyDescent="0.2">
      <c r="B9" t="s">
        <v>78</v>
      </c>
      <c r="C9" s="12">
        <v>17</v>
      </c>
      <c r="D9" s="8">
        <v>0.85</v>
      </c>
      <c r="E9" s="12">
        <v>3</v>
      </c>
      <c r="F9" s="8">
        <v>0.25</v>
      </c>
      <c r="G9" s="12">
        <v>14</v>
      </c>
      <c r="H9" s="8">
        <v>1.82</v>
      </c>
      <c r="I9" s="12">
        <v>0</v>
      </c>
    </row>
    <row r="10" spans="2:9" ht="15" customHeight="1" x14ac:dyDescent="0.2">
      <c r="B10" t="s">
        <v>79</v>
      </c>
      <c r="C10" s="12">
        <v>20</v>
      </c>
      <c r="D10" s="8">
        <v>1</v>
      </c>
      <c r="E10" s="12">
        <v>5</v>
      </c>
      <c r="F10" s="8">
        <v>0.42</v>
      </c>
      <c r="G10" s="12">
        <v>15</v>
      </c>
      <c r="H10" s="8">
        <v>1.95</v>
      </c>
      <c r="I10" s="12">
        <v>0</v>
      </c>
    </row>
    <row r="11" spans="2:9" ht="15" customHeight="1" x14ac:dyDescent="0.2">
      <c r="B11" t="s">
        <v>80</v>
      </c>
      <c r="C11" s="12">
        <v>423</v>
      </c>
      <c r="D11" s="8">
        <v>21.18</v>
      </c>
      <c r="E11" s="12">
        <v>231</v>
      </c>
      <c r="F11" s="8">
        <v>19.25</v>
      </c>
      <c r="G11" s="12">
        <v>192</v>
      </c>
      <c r="H11" s="8">
        <v>25</v>
      </c>
      <c r="I11" s="12">
        <v>0</v>
      </c>
    </row>
    <row r="12" spans="2:9" ht="15" customHeight="1" x14ac:dyDescent="0.2">
      <c r="B12" t="s">
        <v>81</v>
      </c>
      <c r="C12" s="12">
        <v>10</v>
      </c>
      <c r="D12" s="8">
        <v>0.5</v>
      </c>
      <c r="E12" s="12">
        <v>1</v>
      </c>
      <c r="F12" s="8">
        <v>0.08</v>
      </c>
      <c r="G12" s="12">
        <v>9</v>
      </c>
      <c r="H12" s="8">
        <v>1.17</v>
      </c>
      <c r="I12" s="12">
        <v>0</v>
      </c>
    </row>
    <row r="13" spans="2:9" ht="15" customHeight="1" x14ac:dyDescent="0.2">
      <c r="B13" t="s">
        <v>82</v>
      </c>
      <c r="C13" s="12">
        <v>154</v>
      </c>
      <c r="D13" s="8">
        <v>7.71</v>
      </c>
      <c r="E13" s="12">
        <v>67</v>
      </c>
      <c r="F13" s="8">
        <v>5.58</v>
      </c>
      <c r="G13" s="12">
        <v>86</v>
      </c>
      <c r="H13" s="8">
        <v>11.2</v>
      </c>
      <c r="I13" s="12">
        <v>1</v>
      </c>
    </row>
    <row r="14" spans="2:9" ht="15" customHeight="1" x14ac:dyDescent="0.2">
      <c r="B14" t="s">
        <v>83</v>
      </c>
      <c r="C14" s="12">
        <v>83</v>
      </c>
      <c r="D14" s="8">
        <v>4.16</v>
      </c>
      <c r="E14" s="12">
        <v>47</v>
      </c>
      <c r="F14" s="8">
        <v>3.92</v>
      </c>
      <c r="G14" s="12">
        <v>35</v>
      </c>
      <c r="H14" s="8">
        <v>4.5599999999999996</v>
      </c>
      <c r="I14" s="12">
        <v>1</v>
      </c>
    </row>
    <row r="15" spans="2:9" ht="15" customHeight="1" x14ac:dyDescent="0.2">
      <c r="B15" t="s">
        <v>84</v>
      </c>
      <c r="C15" s="12">
        <v>319</v>
      </c>
      <c r="D15" s="8">
        <v>15.97</v>
      </c>
      <c r="E15" s="12">
        <v>258</v>
      </c>
      <c r="F15" s="8">
        <v>21.5</v>
      </c>
      <c r="G15" s="12">
        <v>57</v>
      </c>
      <c r="H15" s="8">
        <v>7.42</v>
      </c>
      <c r="I15" s="12">
        <v>1</v>
      </c>
    </row>
    <row r="16" spans="2:9" ht="15" customHeight="1" x14ac:dyDescent="0.2">
      <c r="B16" t="s">
        <v>85</v>
      </c>
      <c r="C16" s="12">
        <v>256</v>
      </c>
      <c r="D16" s="8">
        <v>12.82</v>
      </c>
      <c r="E16" s="12">
        <v>219</v>
      </c>
      <c r="F16" s="8">
        <v>18.25</v>
      </c>
      <c r="G16" s="12">
        <v>35</v>
      </c>
      <c r="H16" s="8">
        <v>4.5599999999999996</v>
      </c>
      <c r="I16" s="12">
        <v>0</v>
      </c>
    </row>
    <row r="17" spans="2:9" ht="15" customHeight="1" x14ac:dyDescent="0.2">
      <c r="B17" t="s">
        <v>86</v>
      </c>
      <c r="C17" s="12">
        <v>68</v>
      </c>
      <c r="D17" s="8">
        <v>3.41</v>
      </c>
      <c r="E17" s="12">
        <v>43</v>
      </c>
      <c r="F17" s="8">
        <v>3.58</v>
      </c>
      <c r="G17" s="12">
        <v>12</v>
      </c>
      <c r="H17" s="8">
        <v>1.56</v>
      </c>
      <c r="I17" s="12">
        <v>1</v>
      </c>
    </row>
    <row r="18" spans="2:9" ht="15" customHeight="1" x14ac:dyDescent="0.2">
      <c r="B18" t="s">
        <v>87</v>
      </c>
      <c r="C18" s="12">
        <v>105</v>
      </c>
      <c r="D18" s="8">
        <v>5.26</v>
      </c>
      <c r="E18" s="12">
        <v>58</v>
      </c>
      <c r="F18" s="8">
        <v>4.83</v>
      </c>
      <c r="G18" s="12">
        <v>41</v>
      </c>
      <c r="H18" s="8">
        <v>5.34</v>
      </c>
      <c r="I18" s="12">
        <v>0</v>
      </c>
    </row>
    <row r="19" spans="2:9" ht="15" customHeight="1" x14ac:dyDescent="0.2">
      <c r="B19" t="s">
        <v>88</v>
      </c>
      <c r="C19" s="12">
        <v>67</v>
      </c>
      <c r="D19" s="8">
        <v>3.36</v>
      </c>
      <c r="E19" s="12">
        <v>39</v>
      </c>
      <c r="F19" s="8">
        <v>3.25</v>
      </c>
      <c r="G19" s="12">
        <v>27</v>
      </c>
      <c r="H19" s="8">
        <v>3.52</v>
      </c>
      <c r="I19" s="12">
        <v>0</v>
      </c>
    </row>
    <row r="20" spans="2:9" ht="15" customHeight="1" x14ac:dyDescent="0.2">
      <c r="B20" s="9" t="s">
        <v>269</v>
      </c>
      <c r="C20" s="12">
        <f>SUM(LTBL_11207[総数／事業所数])</f>
        <v>1997</v>
      </c>
      <c r="E20" s="12">
        <f>SUBTOTAL(109,LTBL_11207[個人／事業所数])</f>
        <v>1200</v>
      </c>
      <c r="G20" s="12">
        <f>SUBTOTAL(109,LTBL_11207[法人／事業所数])</f>
        <v>768</v>
      </c>
      <c r="I20" s="12">
        <f>SUBTOTAL(109,LTBL_11207[法人以外の団体／事業所数])</f>
        <v>4</v>
      </c>
    </row>
    <row r="21" spans="2:9" ht="15" customHeight="1" x14ac:dyDescent="0.2">
      <c r="E21" s="11">
        <f>LTBL_11207[[#Totals],[個人／事業所数]]/LTBL_11207[[#Totals],[総数／事業所数]]</f>
        <v>0.60090135202804207</v>
      </c>
      <c r="G21" s="11">
        <f>LTBL_11207[[#Totals],[法人／事業所数]]/LTBL_11207[[#Totals],[総数／事業所数]]</f>
        <v>0.38457686529794693</v>
      </c>
      <c r="I21" s="11">
        <f>LTBL_11207[[#Totals],[法人以外の団体／事業所数]]/LTBL_11207[[#Totals],[総数／事業所数]]</f>
        <v>2.00300450676014E-3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111</v>
      </c>
      <c r="C24" s="12">
        <v>283</v>
      </c>
      <c r="D24" s="8">
        <v>14.17</v>
      </c>
      <c r="E24" s="12">
        <v>243</v>
      </c>
      <c r="F24" s="8">
        <v>20.25</v>
      </c>
      <c r="G24" s="12">
        <v>39</v>
      </c>
      <c r="H24" s="8">
        <v>5.08</v>
      </c>
      <c r="I24" s="12">
        <v>1</v>
      </c>
    </row>
    <row r="25" spans="2:9" ht="15" customHeight="1" x14ac:dyDescent="0.2">
      <c r="B25" t="s">
        <v>112</v>
      </c>
      <c r="C25" s="12">
        <v>224</v>
      </c>
      <c r="D25" s="8">
        <v>11.22</v>
      </c>
      <c r="E25" s="12">
        <v>207</v>
      </c>
      <c r="F25" s="8">
        <v>17.25</v>
      </c>
      <c r="G25" s="12">
        <v>17</v>
      </c>
      <c r="H25" s="8">
        <v>2.21</v>
      </c>
      <c r="I25" s="12">
        <v>0</v>
      </c>
    </row>
    <row r="26" spans="2:9" ht="15" customHeight="1" x14ac:dyDescent="0.2">
      <c r="B26" t="s">
        <v>97</v>
      </c>
      <c r="C26" s="12">
        <v>146</v>
      </c>
      <c r="D26" s="8">
        <v>7.31</v>
      </c>
      <c r="E26" s="12">
        <v>67</v>
      </c>
      <c r="F26" s="8">
        <v>5.58</v>
      </c>
      <c r="G26" s="12">
        <v>79</v>
      </c>
      <c r="H26" s="8">
        <v>10.29</v>
      </c>
      <c r="I26" s="12">
        <v>0</v>
      </c>
    </row>
    <row r="27" spans="2:9" ht="15" customHeight="1" x14ac:dyDescent="0.2">
      <c r="B27" t="s">
        <v>106</v>
      </c>
      <c r="C27" s="12">
        <v>120</v>
      </c>
      <c r="D27" s="8">
        <v>6.01</v>
      </c>
      <c r="E27" s="12">
        <v>59</v>
      </c>
      <c r="F27" s="8">
        <v>4.92</v>
      </c>
      <c r="G27" s="12">
        <v>61</v>
      </c>
      <c r="H27" s="8">
        <v>7.94</v>
      </c>
      <c r="I27" s="12">
        <v>0</v>
      </c>
    </row>
    <row r="28" spans="2:9" ht="15" customHeight="1" x14ac:dyDescent="0.2">
      <c r="B28" t="s">
        <v>108</v>
      </c>
      <c r="C28" s="12">
        <v>114</v>
      </c>
      <c r="D28" s="8">
        <v>5.71</v>
      </c>
      <c r="E28" s="12">
        <v>62</v>
      </c>
      <c r="F28" s="8">
        <v>5.17</v>
      </c>
      <c r="G28" s="12">
        <v>51</v>
      </c>
      <c r="H28" s="8">
        <v>6.64</v>
      </c>
      <c r="I28" s="12">
        <v>1</v>
      </c>
    </row>
    <row r="29" spans="2:9" ht="15" customHeight="1" x14ac:dyDescent="0.2">
      <c r="B29" t="s">
        <v>104</v>
      </c>
      <c r="C29" s="12">
        <v>109</v>
      </c>
      <c r="D29" s="8">
        <v>5.46</v>
      </c>
      <c r="E29" s="12">
        <v>77</v>
      </c>
      <c r="F29" s="8">
        <v>6.42</v>
      </c>
      <c r="G29" s="12">
        <v>32</v>
      </c>
      <c r="H29" s="8">
        <v>4.17</v>
      </c>
      <c r="I29" s="12">
        <v>0</v>
      </c>
    </row>
    <row r="30" spans="2:9" ht="15" customHeight="1" x14ac:dyDescent="0.2">
      <c r="B30" t="s">
        <v>98</v>
      </c>
      <c r="C30" s="12">
        <v>105</v>
      </c>
      <c r="D30" s="8">
        <v>5.26</v>
      </c>
      <c r="E30" s="12">
        <v>64</v>
      </c>
      <c r="F30" s="8">
        <v>5.33</v>
      </c>
      <c r="G30" s="12">
        <v>41</v>
      </c>
      <c r="H30" s="8">
        <v>5.34</v>
      </c>
      <c r="I30" s="12">
        <v>0</v>
      </c>
    </row>
    <row r="31" spans="2:9" ht="15" customHeight="1" x14ac:dyDescent="0.2">
      <c r="B31" t="s">
        <v>114</v>
      </c>
      <c r="C31" s="12">
        <v>68</v>
      </c>
      <c r="D31" s="8">
        <v>3.41</v>
      </c>
      <c r="E31" s="12">
        <v>43</v>
      </c>
      <c r="F31" s="8">
        <v>3.58</v>
      </c>
      <c r="G31" s="12">
        <v>12</v>
      </c>
      <c r="H31" s="8">
        <v>1.56</v>
      </c>
      <c r="I31" s="12">
        <v>1</v>
      </c>
    </row>
    <row r="32" spans="2:9" ht="15" customHeight="1" x14ac:dyDescent="0.2">
      <c r="B32" t="s">
        <v>105</v>
      </c>
      <c r="C32" s="12">
        <v>66</v>
      </c>
      <c r="D32" s="8">
        <v>3.3</v>
      </c>
      <c r="E32" s="12">
        <v>41</v>
      </c>
      <c r="F32" s="8">
        <v>3.42</v>
      </c>
      <c r="G32" s="12">
        <v>25</v>
      </c>
      <c r="H32" s="8">
        <v>3.26</v>
      </c>
      <c r="I32" s="12">
        <v>0</v>
      </c>
    </row>
    <row r="33" spans="2:9" ht="15" customHeight="1" x14ac:dyDescent="0.2">
      <c r="B33" t="s">
        <v>115</v>
      </c>
      <c r="C33" s="12">
        <v>65</v>
      </c>
      <c r="D33" s="8">
        <v>3.25</v>
      </c>
      <c r="E33" s="12">
        <v>58</v>
      </c>
      <c r="F33" s="8">
        <v>4.83</v>
      </c>
      <c r="G33" s="12">
        <v>7</v>
      </c>
      <c r="H33" s="8">
        <v>0.91</v>
      </c>
      <c r="I33" s="12">
        <v>0</v>
      </c>
    </row>
    <row r="34" spans="2:9" ht="15" customHeight="1" x14ac:dyDescent="0.2">
      <c r="B34" t="s">
        <v>109</v>
      </c>
      <c r="C34" s="12">
        <v>49</v>
      </c>
      <c r="D34" s="8">
        <v>2.4500000000000002</v>
      </c>
      <c r="E34" s="12">
        <v>37</v>
      </c>
      <c r="F34" s="8">
        <v>3.08</v>
      </c>
      <c r="G34" s="12">
        <v>11</v>
      </c>
      <c r="H34" s="8">
        <v>1.43</v>
      </c>
      <c r="I34" s="12">
        <v>1</v>
      </c>
    </row>
    <row r="35" spans="2:9" ht="15" customHeight="1" x14ac:dyDescent="0.2">
      <c r="B35" t="s">
        <v>99</v>
      </c>
      <c r="C35" s="12">
        <v>45</v>
      </c>
      <c r="D35" s="8">
        <v>2.25</v>
      </c>
      <c r="E35" s="12">
        <v>21</v>
      </c>
      <c r="F35" s="8">
        <v>1.75</v>
      </c>
      <c r="G35" s="12">
        <v>24</v>
      </c>
      <c r="H35" s="8">
        <v>3.13</v>
      </c>
      <c r="I35" s="12">
        <v>0</v>
      </c>
    </row>
    <row r="36" spans="2:9" ht="15" customHeight="1" x14ac:dyDescent="0.2">
      <c r="B36" t="s">
        <v>103</v>
      </c>
      <c r="C36" s="12">
        <v>42</v>
      </c>
      <c r="D36" s="8">
        <v>2.1</v>
      </c>
      <c r="E36" s="12">
        <v>23</v>
      </c>
      <c r="F36" s="8">
        <v>1.92</v>
      </c>
      <c r="G36" s="12">
        <v>19</v>
      </c>
      <c r="H36" s="8">
        <v>2.4700000000000002</v>
      </c>
      <c r="I36" s="12">
        <v>0</v>
      </c>
    </row>
    <row r="37" spans="2:9" ht="15" customHeight="1" x14ac:dyDescent="0.2">
      <c r="B37" t="s">
        <v>118</v>
      </c>
      <c r="C37" s="12">
        <v>40</v>
      </c>
      <c r="D37" s="8">
        <v>2</v>
      </c>
      <c r="E37" s="12">
        <v>0</v>
      </c>
      <c r="F37" s="8">
        <v>0</v>
      </c>
      <c r="G37" s="12">
        <v>34</v>
      </c>
      <c r="H37" s="8">
        <v>4.43</v>
      </c>
      <c r="I37" s="12">
        <v>0</v>
      </c>
    </row>
    <row r="38" spans="2:9" ht="15" customHeight="1" x14ac:dyDescent="0.2">
      <c r="B38" t="s">
        <v>116</v>
      </c>
      <c r="C38" s="12">
        <v>37</v>
      </c>
      <c r="D38" s="8">
        <v>1.85</v>
      </c>
      <c r="E38" s="12">
        <v>26</v>
      </c>
      <c r="F38" s="8">
        <v>2.17</v>
      </c>
      <c r="G38" s="12">
        <v>11</v>
      </c>
      <c r="H38" s="8">
        <v>1.43</v>
      </c>
      <c r="I38" s="12">
        <v>0</v>
      </c>
    </row>
    <row r="39" spans="2:9" ht="15" customHeight="1" x14ac:dyDescent="0.2">
      <c r="B39" t="s">
        <v>110</v>
      </c>
      <c r="C39" s="12">
        <v>32</v>
      </c>
      <c r="D39" s="8">
        <v>1.6</v>
      </c>
      <c r="E39" s="12">
        <v>10</v>
      </c>
      <c r="F39" s="8">
        <v>0.83</v>
      </c>
      <c r="G39" s="12">
        <v>22</v>
      </c>
      <c r="H39" s="8">
        <v>2.86</v>
      </c>
      <c r="I39" s="12">
        <v>0</v>
      </c>
    </row>
    <row r="40" spans="2:9" ht="15" customHeight="1" x14ac:dyDescent="0.2">
      <c r="B40" t="s">
        <v>101</v>
      </c>
      <c r="C40" s="12">
        <v>30</v>
      </c>
      <c r="D40" s="8">
        <v>1.5</v>
      </c>
      <c r="E40" s="12">
        <v>7</v>
      </c>
      <c r="F40" s="8">
        <v>0.57999999999999996</v>
      </c>
      <c r="G40" s="12">
        <v>23</v>
      </c>
      <c r="H40" s="8">
        <v>2.99</v>
      </c>
      <c r="I40" s="12">
        <v>0</v>
      </c>
    </row>
    <row r="41" spans="2:9" ht="15" customHeight="1" x14ac:dyDescent="0.2">
      <c r="B41" t="s">
        <v>100</v>
      </c>
      <c r="C41" s="12">
        <v>29</v>
      </c>
      <c r="D41" s="8">
        <v>1.45</v>
      </c>
      <c r="E41" s="12">
        <v>7</v>
      </c>
      <c r="F41" s="8">
        <v>0.57999999999999996</v>
      </c>
      <c r="G41" s="12">
        <v>22</v>
      </c>
      <c r="H41" s="8">
        <v>2.86</v>
      </c>
      <c r="I41" s="12">
        <v>0</v>
      </c>
    </row>
    <row r="42" spans="2:9" ht="15" customHeight="1" x14ac:dyDescent="0.2">
      <c r="B42" t="s">
        <v>107</v>
      </c>
      <c r="C42" s="12">
        <v>27</v>
      </c>
      <c r="D42" s="8">
        <v>1.35</v>
      </c>
      <c r="E42" s="12">
        <v>2</v>
      </c>
      <c r="F42" s="8">
        <v>0.17</v>
      </c>
      <c r="G42" s="12">
        <v>25</v>
      </c>
      <c r="H42" s="8">
        <v>3.26</v>
      </c>
      <c r="I42" s="12">
        <v>0</v>
      </c>
    </row>
    <row r="43" spans="2:9" ht="15" customHeight="1" x14ac:dyDescent="0.2">
      <c r="B43" t="s">
        <v>113</v>
      </c>
      <c r="C43" s="12">
        <v>27</v>
      </c>
      <c r="D43" s="8">
        <v>1.35</v>
      </c>
      <c r="E43" s="12">
        <v>10</v>
      </c>
      <c r="F43" s="8">
        <v>0.83</v>
      </c>
      <c r="G43" s="12">
        <v>16</v>
      </c>
      <c r="H43" s="8">
        <v>2.08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173</v>
      </c>
      <c r="C47" s="12">
        <v>124</v>
      </c>
      <c r="D47" s="8">
        <v>6.21</v>
      </c>
      <c r="E47" s="12">
        <v>117</v>
      </c>
      <c r="F47" s="8">
        <v>9.75</v>
      </c>
      <c r="G47" s="12">
        <v>7</v>
      </c>
      <c r="H47" s="8">
        <v>0.91</v>
      </c>
      <c r="I47" s="12">
        <v>0</v>
      </c>
    </row>
    <row r="48" spans="2:9" ht="15" customHeight="1" x14ac:dyDescent="0.2">
      <c r="B48" t="s">
        <v>167</v>
      </c>
      <c r="C48" s="12">
        <v>75</v>
      </c>
      <c r="D48" s="8">
        <v>3.76</v>
      </c>
      <c r="E48" s="12">
        <v>52</v>
      </c>
      <c r="F48" s="8">
        <v>4.33</v>
      </c>
      <c r="G48" s="12">
        <v>23</v>
      </c>
      <c r="H48" s="8">
        <v>2.99</v>
      </c>
      <c r="I48" s="12">
        <v>0</v>
      </c>
    </row>
    <row r="49" spans="2:9" ht="15" customHeight="1" x14ac:dyDescent="0.2">
      <c r="B49" t="s">
        <v>169</v>
      </c>
      <c r="C49" s="12">
        <v>74</v>
      </c>
      <c r="D49" s="8">
        <v>3.71</v>
      </c>
      <c r="E49" s="12">
        <v>66</v>
      </c>
      <c r="F49" s="8">
        <v>5.5</v>
      </c>
      <c r="G49" s="12">
        <v>8</v>
      </c>
      <c r="H49" s="8">
        <v>1.04</v>
      </c>
      <c r="I49" s="12">
        <v>0</v>
      </c>
    </row>
    <row r="50" spans="2:9" ht="15" customHeight="1" x14ac:dyDescent="0.2">
      <c r="B50" t="s">
        <v>159</v>
      </c>
      <c r="C50" s="12">
        <v>67</v>
      </c>
      <c r="D50" s="8">
        <v>3.36</v>
      </c>
      <c r="E50" s="12">
        <v>46</v>
      </c>
      <c r="F50" s="8">
        <v>3.83</v>
      </c>
      <c r="G50" s="12">
        <v>21</v>
      </c>
      <c r="H50" s="8">
        <v>2.73</v>
      </c>
      <c r="I50" s="12">
        <v>0</v>
      </c>
    </row>
    <row r="51" spans="2:9" ht="15" customHeight="1" x14ac:dyDescent="0.2">
      <c r="B51" t="s">
        <v>170</v>
      </c>
      <c r="C51" s="12">
        <v>64</v>
      </c>
      <c r="D51" s="8">
        <v>3.2</v>
      </c>
      <c r="E51" s="12">
        <v>58</v>
      </c>
      <c r="F51" s="8">
        <v>4.83</v>
      </c>
      <c r="G51" s="12">
        <v>6</v>
      </c>
      <c r="H51" s="8">
        <v>0.78</v>
      </c>
      <c r="I51" s="12">
        <v>0</v>
      </c>
    </row>
    <row r="52" spans="2:9" ht="15" customHeight="1" x14ac:dyDescent="0.2">
      <c r="B52" t="s">
        <v>172</v>
      </c>
      <c r="C52" s="12">
        <v>64</v>
      </c>
      <c r="D52" s="8">
        <v>3.2</v>
      </c>
      <c r="E52" s="12">
        <v>63</v>
      </c>
      <c r="F52" s="8">
        <v>5.25</v>
      </c>
      <c r="G52" s="12">
        <v>1</v>
      </c>
      <c r="H52" s="8">
        <v>0.13</v>
      </c>
      <c r="I52" s="12">
        <v>0</v>
      </c>
    </row>
    <row r="53" spans="2:9" ht="15" customHeight="1" x14ac:dyDescent="0.2">
      <c r="B53" t="s">
        <v>175</v>
      </c>
      <c r="C53" s="12">
        <v>50</v>
      </c>
      <c r="D53" s="8">
        <v>2.5</v>
      </c>
      <c r="E53" s="12">
        <v>45</v>
      </c>
      <c r="F53" s="8">
        <v>3.75</v>
      </c>
      <c r="G53" s="12">
        <v>5</v>
      </c>
      <c r="H53" s="8">
        <v>0.65</v>
      </c>
      <c r="I53" s="12">
        <v>0</v>
      </c>
    </row>
    <row r="54" spans="2:9" ht="15" customHeight="1" x14ac:dyDescent="0.2">
      <c r="B54" t="s">
        <v>163</v>
      </c>
      <c r="C54" s="12">
        <v>45</v>
      </c>
      <c r="D54" s="8">
        <v>2.25</v>
      </c>
      <c r="E54" s="12">
        <v>26</v>
      </c>
      <c r="F54" s="8">
        <v>2.17</v>
      </c>
      <c r="G54" s="12">
        <v>19</v>
      </c>
      <c r="H54" s="8">
        <v>2.4700000000000002</v>
      </c>
      <c r="I54" s="12">
        <v>0</v>
      </c>
    </row>
    <row r="55" spans="2:9" ht="15" customHeight="1" x14ac:dyDescent="0.2">
      <c r="B55" t="s">
        <v>206</v>
      </c>
      <c r="C55" s="12">
        <v>45</v>
      </c>
      <c r="D55" s="8">
        <v>2.25</v>
      </c>
      <c r="E55" s="12">
        <v>34</v>
      </c>
      <c r="F55" s="8">
        <v>2.83</v>
      </c>
      <c r="G55" s="12">
        <v>10</v>
      </c>
      <c r="H55" s="8">
        <v>1.3</v>
      </c>
      <c r="I55" s="12">
        <v>1</v>
      </c>
    </row>
    <row r="56" spans="2:9" ht="15" customHeight="1" x14ac:dyDescent="0.2">
      <c r="B56" t="s">
        <v>191</v>
      </c>
      <c r="C56" s="12">
        <v>42</v>
      </c>
      <c r="D56" s="8">
        <v>2.1</v>
      </c>
      <c r="E56" s="12">
        <v>37</v>
      </c>
      <c r="F56" s="8">
        <v>3.08</v>
      </c>
      <c r="G56" s="12">
        <v>5</v>
      </c>
      <c r="H56" s="8">
        <v>0.65</v>
      </c>
      <c r="I56" s="12">
        <v>0</v>
      </c>
    </row>
    <row r="57" spans="2:9" ht="15" customHeight="1" x14ac:dyDescent="0.2">
      <c r="B57" t="s">
        <v>164</v>
      </c>
      <c r="C57" s="12">
        <v>40</v>
      </c>
      <c r="D57" s="8">
        <v>2</v>
      </c>
      <c r="E57" s="12">
        <v>28</v>
      </c>
      <c r="F57" s="8">
        <v>2.33</v>
      </c>
      <c r="G57" s="12">
        <v>12</v>
      </c>
      <c r="H57" s="8">
        <v>1.56</v>
      </c>
      <c r="I57" s="12">
        <v>0</v>
      </c>
    </row>
    <row r="58" spans="2:9" ht="15" customHeight="1" x14ac:dyDescent="0.2">
      <c r="B58" t="s">
        <v>188</v>
      </c>
      <c r="C58" s="12">
        <v>39</v>
      </c>
      <c r="D58" s="8">
        <v>1.95</v>
      </c>
      <c r="E58" s="12">
        <v>29</v>
      </c>
      <c r="F58" s="8">
        <v>2.42</v>
      </c>
      <c r="G58" s="12">
        <v>10</v>
      </c>
      <c r="H58" s="8">
        <v>1.3</v>
      </c>
      <c r="I58" s="12">
        <v>0</v>
      </c>
    </row>
    <row r="59" spans="2:9" ht="15" customHeight="1" x14ac:dyDescent="0.2">
      <c r="B59" t="s">
        <v>174</v>
      </c>
      <c r="C59" s="12">
        <v>39</v>
      </c>
      <c r="D59" s="8">
        <v>1.95</v>
      </c>
      <c r="E59" s="12">
        <v>30</v>
      </c>
      <c r="F59" s="8">
        <v>2.5</v>
      </c>
      <c r="G59" s="12">
        <v>8</v>
      </c>
      <c r="H59" s="8">
        <v>1.04</v>
      </c>
      <c r="I59" s="12">
        <v>1</v>
      </c>
    </row>
    <row r="60" spans="2:9" ht="15" customHeight="1" x14ac:dyDescent="0.2">
      <c r="B60" t="s">
        <v>176</v>
      </c>
      <c r="C60" s="12">
        <v>37</v>
      </c>
      <c r="D60" s="8">
        <v>1.85</v>
      </c>
      <c r="E60" s="12">
        <v>26</v>
      </c>
      <c r="F60" s="8">
        <v>2.17</v>
      </c>
      <c r="G60" s="12">
        <v>11</v>
      </c>
      <c r="H60" s="8">
        <v>1.43</v>
      </c>
      <c r="I60" s="12">
        <v>0</v>
      </c>
    </row>
    <row r="61" spans="2:9" ht="15" customHeight="1" x14ac:dyDescent="0.2">
      <c r="B61" t="s">
        <v>157</v>
      </c>
      <c r="C61" s="12">
        <v>36</v>
      </c>
      <c r="D61" s="8">
        <v>1.8</v>
      </c>
      <c r="E61" s="12">
        <v>6</v>
      </c>
      <c r="F61" s="8">
        <v>0.5</v>
      </c>
      <c r="G61" s="12">
        <v>30</v>
      </c>
      <c r="H61" s="8">
        <v>3.91</v>
      </c>
      <c r="I61" s="12">
        <v>0</v>
      </c>
    </row>
    <row r="62" spans="2:9" ht="15" customHeight="1" x14ac:dyDescent="0.2">
      <c r="B62" t="s">
        <v>162</v>
      </c>
      <c r="C62" s="12">
        <v>29</v>
      </c>
      <c r="D62" s="8">
        <v>1.45</v>
      </c>
      <c r="E62" s="12">
        <v>20</v>
      </c>
      <c r="F62" s="8">
        <v>1.67</v>
      </c>
      <c r="G62" s="12">
        <v>9</v>
      </c>
      <c r="H62" s="8">
        <v>1.17</v>
      </c>
      <c r="I62" s="12">
        <v>0</v>
      </c>
    </row>
    <row r="63" spans="2:9" ht="15" customHeight="1" x14ac:dyDescent="0.2">
      <c r="B63" t="s">
        <v>160</v>
      </c>
      <c r="C63" s="12">
        <v>27</v>
      </c>
      <c r="D63" s="8">
        <v>1.35</v>
      </c>
      <c r="E63" s="12">
        <v>15</v>
      </c>
      <c r="F63" s="8">
        <v>1.25</v>
      </c>
      <c r="G63" s="12">
        <v>12</v>
      </c>
      <c r="H63" s="8">
        <v>1.56</v>
      </c>
      <c r="I63" s="12">
        <v>0</v>
      </c>
    </row>
    <row r="64" spans="2:9" ht="15" customHeight="1" x14ac:dyDescent="0.2">
      <c r="B64" t="s">
        <v>205</v>
      </c>
      <c r="C64" s="12">
        <v>26</v>
      </c>
      <c r="D64" s="8">
        <v>1.3</v>
      </c>
      <c r="E64" s="12">
        <v>21</v>
      </c>
      <c r="F64" s="8">
        <v>1.75</v>
      </c>
      <c r="G64" s="12">
        <v>5</v>
      </c>
      <c r="H64" s="8">
        <v>0.65</v>
      </c>
      <c r="I64" s="12">
        <v>0</v>
      </c>
    </row>
    <row r="65" spans="2:9" ht="15" customHeight="1" x14ac:dyDescent="0.2">
      <c r="B65" t="s">
        <v>166</v>
      </c>
      <c r="C65" s="12">
        <v>24</v>
      </c>
      <c r="D65" s="8">
        <v>1.2</v>
      </c>
      <c r="E65" s="12">
        <v>6</v>
      </c>
      <c r="F65" s="8">
        <v>0.5</v>
      </c>
      <c r="G65" s="12">
        <v>18</v>
      </c>
      <c r="H65" s="8">
        <v>2.34</v>
      </c>
      <c r="I65" s="12">
        <v>0</v>
      </c>
    </row>
    <row r="66" spans="2:9" ht="15" customHeight="1" x14ac:dyDescent="0.2">
      <c r="B66" t="s">
        <v>158</v>
      </c>
      <c r="C66" s="12">
        <v>23</v>
      </c>
      <c r="D66" s="8">
        <v>1.1499999999999999</v>
      </c>
      <c r="E66" s="12">
        <v>6</v>
      </c>
      <c r="F66" s="8">
        <v>0.5</v>
      </c>
      <c r="G66" s="12">
        <v>17</v>
      </c>
      <c r="H66" s="8">
        <v>2.21</v>
      </c>
      <c r="I66" s="12">
        <v>0</v>
      </c>
    </row>
    <row r="67" spans="2:9" ht="15" customHeight="1" x14ac:dyDescent="0.2">
      <c r="B67" t="s">
        <v>204</v>
      </c>
      <c r="C67" s="12">
        <v>23</v>
      </c>
      <c r="D67" s="8">
        <v>1.1499999999999999</v>
      </c>
      <c r="E67" s="12">
        <v>4</v>
      </c>
      <c r="F67" s="8">
        <v>0.33</v>
      </c>
      <c r="G67" s="12">
        <v>19</v>
      </c>
      <c r="H67" s="8">
        <v>2.4700000000000002</v>
      </c>
      <c r="I67" s="12">
        <v>0</v>
      </c>
    </row>
    <row r="68" spans="2:9" ht="15" customHeight="1" x14ac:dyDescent="0.2">
      <c r="B68" t="s">
        <v>185</v>
      </c>
      <c r="C68" s="12">
        <v>23</v>
      </c>
      <c r="D68" s="8">
        <v>1.1499999999999999</v>
      </c>
      <c r="E68" s="12">
        <v>5</v>
      </c>
      <c r="F68" s="8">
        <v>0.42</v>
      </c>
      <c r="G68" s="12">
        <v>18</v>
      </c>
      <c r="H68" s="8">
        <v>2.34</v>
      </c>
      <c r="I68" s="12">
        <v>0</v>
      </c>
    </row>
    <row r="69" spans="2:9" ht="15" customHeight="1" x14ac:dyDescent="0.2">
      <c r="B69" t="s">
        <v>192</v>
      </c>
      <c r="C69" s="12">
        <v>23</v>
      </c>
      <c r="D69" s="8">
        <v>1.1499999999999999</v>
      </c>
      <c r="E69" s="12">
        <v>21</v>
      </c>
      <c r="F69" s="8">
        <v>1.75</v>
      </c>
      <c r="G69" s="12">
        <v>2</v>
      </c>
      <c r="H69" s="8">
        <v>0.26</v>
      </c>
      <c r="I69" s="12">
        <v>0</v>
      </c>
    </row>
    <row r="71" spans="2:9" ht="15" customHeight="1" x14ac:dyDescent="0.2">
      <c r="B71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BE195-7953-4A13-8EE8-DA09117320A5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289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903</v>
      </c>
      <c r="D6" s="8">
        <v>17.04</v>
      </c>
      <c r="E6" s="12">
        <v>125</v>
      </c>
      <c r="F6" s="8">
        <v>6.28</v>
      </c>
      <c r="G6" s="12">
        <v>778</v>
      </c>
      <c r="H6" s="8">
        <v>23.61</v>
      </c>
      <c r="I6" s="12">
        <v>0</v>
      </c>
    </row>
    <row r="7" spans="2:9" ht="15" customHeight="1" x14ac:dyDescent="0.2">
      <c r="B7" t="s">
        <v>76</v>
      </c>
      <c r="C7" s="12">
        <v>425</v>
      </c>
      <c r="D7" s="8">
        <v>8.02</v>
      </c>
      <c r="E7" s="12">
        <v>91</v>
      </c>
      <c r="F7" s="8">
        <v>4.57</v>
      </c>
      <c r="G7" s="12">
        <v>334</v>
      </c>
      <c r="H7" s="8">
        <v>10.14</v>
      </c>
      <c r="I7" s="12">
        <v>0</v>
      </c>
    </row>
    <row r="8" spans="2:9" ht="15" customHeight="1" x14ac:dyDescent="0.2">
      <c r="B8" t="s">
        <v>77</v>
      </c>
      <c r="C8" s="12">
        <v>3</v>
      </c>
      <c r="D8" s="8">
        <v>0.06</v>
      </c>
      <c r="E8" s="12">
        <v>0</v>
      </c>
      <c r="F8" s="8">
        <v>0</v>
      </c>
      <c r="G8" s="12">
        <v>3</v>
      </c>
      <c r="H8" s="8">
        <v>0.09</v>
      </c>
      <c r="I8" s="12">
        <v>0</v>
      </c>
    </row>
    <row r="9" spans="2:9" ht="15" customHeight="1" x14ac:dyDescent="0.2">
      <c r="B9" t="s">
        <v>78</v>
      </c>
      <c r="C9" s="12">
        <v>98</v>
      </c>
      <c r="D9" s="8">
        <v>1.85</v>
      </c>
      <c r="E9" s="12">
        <v>3</v>
      </c>
      <c r="F9" s="8">
        <v>0.15</v>
      </c>
      <c r="G9" s="12">
        <v>95</v>
      </c>
      <c r="H9" s="8">
        <v>2.88</v>
      </c>
      <c r="I9" s="12">
        <v>0</v>
      </c>
    </row>
    <row r="10" spans="2:9" ht="15" customHeight="1" x14ac:dyDescent="0.2">
      <c r="B10" t="s">
        <v>79</v>
      </c>
      <c r="C10" s="12">
        <v>47</v>
      </c>
      <c r="D10" s="8">
        <v>0.89</v>
      </c>
      <c r="E10" s="12">
        <v>2</v>
      </c>
      <c r="F10" s="8">
        <v>0.1</v>
      </c>
      <c r="G10" s="12">
        <v>45</v>
      </c>
      <c r="H10" s="8">
        <v>1.37</v>
      </c>
      <c r="I10" s="12">
        <v>0</v>
      </c>
    </row>
    <row r="11" spans="2:9" ht="15" customHeight="1" x14ac:dyDescent="0.2">
      <c r="B11" t="s">
        <v>80</v>
      </c>
      <c r="C11" s="12">
        <v>1033</v>
      </c>
      <c r="D11" s="8">
        <v>19.5</v>
      </c>
      <c r="E11" s="12">
        <v>356</v>
      </c>
      <c r="F11" s="8">
        <v>17.88</v>
      </c>
      <c r="G11" s="12">
        <v>675</v>
      </c>
      <c r="H11" s="8">
        <v>20.49</v>
      </c>
      <c r="I11" s="12">
        <v>2</v>
      </c>
    </row>
    <row r="12" spans="2:9" ht="15" customHeight="1" x14ac:dyDescent="0.2">
      <c r="B12" t="s">
        <v>81</v>
      </c>
      <c r="C12" s="12">
        <v>32</v>
      </c>
      <c r="D12" s="8">
        <v>0.6</v>
      </c>
      <c r="E12" s="12">
        <v>4</v>
      </c>
      <c r="F12" s="8">
        <v>0.2</v>
      </c>
      <c r="G12" s="12">
        <v>28</v>
      </c>
      <c r="H12" s="8">
        <v>0.85</v>
      </c>
      <c r="I12" s="12">
        <v>0</v>
      </c>
    </row>
    <row r="13" spans="2:9" ht="15" customHeight="1" x14ac:dyDescent="0.2">
      <c r="B13" t="s">
        <v>82</v>
      </c>
      <c r="C13" s="12">
        <v>628</v>
      </c>
      <c r="D13" s="8">
        <v>11.85</v>
      </c>
      <c r="E13" s="12">
        <v>111</v>
      </c>
      <c r="F13" s="8">
        <v>5.58</v>
      </c>
      <c r="G13" s="12">
        <v>515</v>
      </c>
      <c r="H13" s="8">
        <v>15.63</v>
      </c>
      <c r="I13" s="12">
        <v>0</v>
      </c>
    </row>
    <row r="14" spans="2:9" ht="15" customHeight="1" x14ac:dyDescent="0.2">
      <c r="B14" t="s">
        <v>83</v>
      </c>
      <c r="C14" s="12">
        <v>355</v>
      </c>
      <c r="D14" s="8">
        <v>6.7</v>
      </c>
      <c r="E14" s="12">
        <v>139</v>
      </c>
      <c r="F14" s="8">
        <v>6.98</v>
      </c>
      <c r="G14" s="12">
        <v>215</v>
      </c>
      <c r="H14" s="8">
        <v>6.53</v>
      </c>
      <c r="I14" s="12">
        <v>0</v>
      </c>
    </row>
    <row r="15" spans="2:9" ht="15" customHeight="1" x14ac:dyDescent="0.2">
      <c r="B15" t="s">
        <v>84</v>
      </c>
      <c r="C15" s="12">
        <v>455</v>
      </c>
      <c r="D15" s="8">
        <v>8.59</v>
      </c>
      <c r="E15" s="12">
        <v>328</v>
      </c>
      <c r="F15" s="8">
        <v>16.47</v>
      </c>
      <c r="G15" s="12">
        <v>126</v>
      </c>
      <c r="H15" s="8">
        <v>3.82</v>
      </c>
      <c r="I15" s="12">
        <v>1</v>
      </c>
    </row>
    <row r="16" spans="2:9" ht="15" customHeight="1" x14ac:dyDescent="0.2">
      <c r="B16" t="s">
        <v>85</v>
      </c>
      <c r="C16" s="12">
        <v>640</v>
      </c>
      <c r="D16" s="8">
        <v>12.08</v>
      </c>
      <c r="E16" s="12">
        <v>442</v>
      </c>
      <c r="F16" s="8">
        <v>22.2</v>
      </c>
      <c r="G16" s="12">
        <v>198</v>
      </c>
      <c r="H16" s="8">
        <v>6.01</v>
      </c>
      <c r="I16" s="12">
        <v>0</v>
      </c>
    </row>
    <row r="17" spans="2:9" ht="15" customHeight="1" x14ac:dyDescent="0.2">
      <c r="B17" t="s">
        <v>86</v>
      </c>
      <c r="C17" s="12">
        <v>221</v>
      </c>
      <c r="D17" s="8">
        <v>4.17</v>
      </c>
      <c r="E17" s="12">
        <v>146</v>
      </c>
      <c r="F17" s="8">
        <v>7.33</v>
      </c>
      <c r="G17" s="12">
        <v>74</v>
      </c>
      <c r="H17" s="8">
        <v>2.25</v>
      </c>
      <c r="I17" s="12">
        <v>1</v>
      </c>
    </row>
    <row r="18" spans="2:9" ht="15" customHeight="1" x14ac:dyDescent="0.2">
      <c r="B18" t="s">
        <v>87</v>
      </c>
      <c r="C18" s="12">
        <v>295</v>
      </c>
      <c r="D18" s="8">
        <v>5.57</v>
      </c>
      <c r="E18" s="12">
        <v>204</v>
      </c>
      <c r="F18" s="8">
        <v>10.25</v>
      </c>
      <c r="G18" s="12">
        <v>91</v>
      </c>
      <c r="H18" s="8">
        <v>2.76</v>
      </c>
      <c r="I18" s="12">
        <v>0</v>
      </c>
    </row>
    <row r="19" spans="2:9" ht="15" customHeight="1" x14ac:dyDescent="0.2">
      <c r="B19" t="s">
        <v>88</v>
      </c>
      <c r="C19" s="12">
        <v>163</v>
      </c>
      <c r="D19" s="8">
        <v>3.08</v>
      </c>
      <c r="E19" s="12">
        <v>40</v>
      </c>
      <c r="F19" s="8">
        <v>2.0099999999999998</v>
      </c>
      <c r="G19" s="12">
        <v>118</v>
      </c>
      <c r="H19" s="8">
        <v>3.58</v>
      </c>
      <c r="I19" s="12">
        <v>2</v>
      </c>
    </row>
    <row r="20" spans="2:9" ht="15" customHeight="1" x14ac:dyDescent="0.2">
      <c r="B20" s="9" t="s">
        <v>269</v>
      </c>
      <c r="C20" s="12">
        <f>SUM(LTBL_11208[総数／事業所数])</f>
        <v>5298</v>
      </c>
      <c r="E20" s="12">
        <f>SUBTOTAL(109,LTBL_11208[個人／事業所数])</f>
        <v>1991</v>
      </c>
      <c r="G20" s="12">
        <f>SUBTOTAL(109,LTBL_11208[法人／事業所数])</f>
        <v>3295</v>
      </c>
      <c r="I20" s="12">
        <f>SUBTOTAL(109,LTBL_11208[法人以外の団体／事業所数])</f>
        <v>6</v>
      </c>
    </row>
    <row r="21" spans="2:9" ht="15" customHeight="1" x14ac:dyDescent="0.2">
      <c r="E21" s="11">
        <f>LTBL_11208[[#Totals],[個人／事業所数]]/LTBL_11208[[#Totals],[総数／事業所数]]</f>
        <v>0.37580218950547378</v>
      </c>
      <c r="G21" s="11">
        <f>LTBL_11208[[#Totals],[法人／事業所数]]/LTBL_11208[[#Totals],[総数／事業所数]]</f>
        <v>0.62193280483201208</v>
      </c>
      <c r="I21" s="11">
        <f>LTBL_11208[[#Totals],[法人以外の団体／事業所数]]/LTBL_11208[[#Totals],[総数／事業所数]]</f>
        <v>1.1325028312570782E-3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522</v>
      </c>
      <c r="D24" s="8">
        <v>9.85</v>
      </c>
      <c r="E24" s="12">
        <v>398</v>
      </c>
      <c r="F24" s="8">
        <v>19.989999999999998</v>
      </c>
      <c r="G24" s="12">
        <v>124</v>
      </c>
      <c r="H24" s="8">
        <v>3.76</v>
      </c>
      <c r="I24" s="12">
        <v>0</v>
      </c>
    </row>
    <row r="25" spans="2:9" ht="15" customHeight="1" x14ac:dyDescent="0.2">
      <c r="B25" t="s">
        <v>108</v>
      </c>
      <c r="C25" s="12">
        <v>484</v>
      </c>
      <c r="D25" s="8">
        <v>9.14</v>
      </c>
      <c r="E25" s="12">
        <v>105</v>
      </c>
      <c r="F25" s="8">
        <v>5.27</v>
      </c>
      <c r="G25" s="12">
        <v>377</v>
      </c>
      <c r="H25" s="8">
        <v>11.44</v>
      </c>
      <c r="I25" s="12">
        <v>0</v>
      </c>
    </row>
    <row r="26" spans="2:9" ht="15" customHeight="1" x14ac:dyDescent="0.2">
      <c r="B26" t="s">
        <v>111</v>
      </c>
      <c r="C26" s="12">
        <v>409</v>
      </c>
      <c r="D26" s="8">
        <v>7.72</v>
      </c>
      <c r="E26" s="12">
        <v>324</v>
      </c>
      <c r="F26" s="8">
        <v>16.27</v>
      </c>
      <c r="G26" s="12">
        <v>84</v>
      </c>
      <c r="H26" s="8">
        <v>2.5499999999999998</v>
      </c>
      <c r="I26" s="12">
        <v>1</v>
      </c>
    </row>
    <row r="27" spans="2:9" ht="15" customHeight="1" x14ac:dyDescent="0.2">
      <c r="B27" t="s">
        <v>98</v>
      </c>
      <c r="C27" s="12">
        <v>369</v>
      </c>
      <c r="D27" s="8">
        <v>6.96</v>
      </c>
      <c r="E27" s="12">
        <v>67</v>
      </c>
      <c r="F27" s="8">
        <v>3.37</v>
      </c>
      <c r="G27" s="12">
        <v>302</v>
      </c>
      <c r="H27" s="8">
        <v>9.17</v>
      </c>
      <c r="I27" s="12">
        <v>0</v>
      </c>
    </row>
    <row r="28" spans="2:9" ht="15" customHeight="1" x14ac:dyDescent="0.2">
      <c r="B28" t="s">
        <v>97</v>
      </c>
      <c r="C28" s="12">
        <v>337</v>
      </c>
      <c r="D28" s="8">
        <v>6.36</v>
      </c>
      <c r="E28" s="12">
        <v>42</v>
      </c>
      <c r="F28" s="8">
        <v>2.11</v>
      </c>
      <c r="G28" s="12">
        <v>295</v>
      </c>
      <c r="H28" s="8">
        <v>8.9499999999999993</v>
      </c>
      <c r="I28" s="12">
        <v>0</v>
      </c>
    </row>
    <row r="29" spans="2:9" ht="15" customHeight="1" x14ac:dyDescent="0.2">
      <c r="B29" t="s">
        <v>106</v>
      </c>
      <c r="C29" s="12">
        <v>288</v>
      </c>
      <c r="D29" s="8">
        <v>5.44</v>
      </c>
      <c r="E29" s="12">
        <v>114</v>
      </c>
      <c r="F29" s="8">
        <v>5.73</v>
      </c>
      <c r="G29" s="12">
        <v>173</v>
      </c>
      <c r="H29" s="8">
        <v>5.25</v>
      </c>
      <c r="I29" s="12">
        <v>1</v>
      </c>
    </row>
    <row r="30" spans="2:9" ht="15" customHeight="1" x14ac:dyDescent="0.2">
      <c r="B30" t="s">
        <v>115</v>
      </c>
      <c r="C30" s="12">
        <v>238</v>
      </c>
      <c r="D30" s="8">
        <v>4.49</v>
      </c>
      <c r="E30" s="12">
        <v>203</v>
      </c>
      <c r="F30" s="8">
        <v>10.199999999999999</v>
      </c>
      <c r="G30" s="12">
        <v>35</v>
      </c>
      <c r="H30" s="8">
        <v>1.06</v>
      </c>
      <c r="I30" s="12">
        <v>0</v>
      </c>
    </row>
    <row r="31" spans="2:9" ht="15" customHeight="1" x14ac:dyDescent="0.2">
      <c r="B31" t="s">
        <v>114</v>
      </c>
      <c r="C31" s="12">
        <v>221</v>
      </c>
      <c r="D31" s="8">
        <v>4.17</v>
      </c>
      <c r="E31" s="12">
        <v>146</v>
      </c>
      <c r="F31" s="8">
        <v>7.33</v>
      </c>
      <c r="G31" s="12">
        <v>74</v>
      </c>
      <c r="H31" s="8">
        <v>2.25</v>
      </c>
      <c r="I31" s="12">
        <v>1</v>
      </c>
    </row>
    <row r="32" spans="2:9" ht="15" customHeight="1" x14ac:dyDescent="0.2">
      <c r="B32" t="s">
        <v>109</v>
      </c>
      <c r="C32" s="12">
        <v>210</v>
      </c>
      <c r="D32" s="8">
        <v>3.96</v>
      </c>
      <c r="E32" s="12">
        <v>103</v>
      </c>
      <c r="F32" s="8">
        <v>5.17</v>
      </c>
      <c r="G32" s="12">
        <v>107</v>
      </c>
      <c r="H32" s="8">
        <v>3.25</v>
      </c>
      <c r="I32" s="12">
        <v>0</v>
      </c>
    </row>
    <row r="33" spans="2:9" ht="15" customHeight="1" x14ac:dyDescent="0.2">
      <c r="B33" t="s">
        <v>104</v>
      </c>
      <c r="C33" s="12">
        <v>199</v>
      </c>
      <c r="D33" s="8">
        <v>3.76</v>
      </c>
      <c r="E33" s="12">
        <v>119</v>
      </c>
      <c r="F33" s="8">
        <v>5.98</v>
      </c>
      <c r="G33" s="12">
        <v>79</v>
      </c>
      <c r="H33" s="8">
        <v>2.4</v>
      </c>
      <c r="I33" s="12">
        <v>1</v>
      </c>
    </row>
    <row r="34" spans="2:9" ht="15" customHeight="1" x14ac:dyDescent="0.2">
      <c r="B34" t="s">
        <v>99</v>
      </c>
      <c r="C34" s="12">
        <v>197</v>
      </c>
      <c r="D34" s="8">
        <v>3.72</v>
      </c>
      <c r="E34" s="12">
        <v>16</v>
      </c>
      <c r="F34" s="8">
        <v>0.8</v>
      </c>
      <c r="G34" s="12">
        <v>181</v>
      </c>
      <c r="H34" s="8">
        <v>5.49</v>
      </c>
      <c r="I34" s="12">
        <v>0</v>
      </c>
    </row>
    <row r="35" spans="2:9" ht="15" customHeight="1" x14ac:dyDescent="0.2">
      <c r="B35" t="s">
        <v>105</v>
      </c>
      <c r="C35" s="12">
        <v>137</v>
      </c>
      <c r="D35" s="8">
        <v>2.59</v>
      </c>
      <c r="E35" s="12">
        <v>48</v>
      </c>
      <c r="F35" s="8">
        <v>2.41</v>
      </c>
      <c r="G35" s="12">
        <v>89</v>
      </c>
      <c r="H35" s="8">
        <v>2.7</v>
      </c>
      <c r="I35" s="12">
        <v>0</v>
      </c>
    </row>
    <row r="36" spans="2:9" ht="15" customHeight="1" x14ac:dyDescent="0.2">
      <c r="B36" t="s">
        <v>110</v>
      </c>
      <c r="C36" s="12">
        <v>131</v>
      </c>
      <c r="D36" s="8">
        <v>2.4700000000000002</v>
      </c>
      <c r="E36" s="12">
        <v>35</v>
      </c>
      <c r="F36" s="8">
        <v>1.76</v>
      </c>
      <c r="G36" s="12">
        <v>95</v>
      </c>
      <c r="H36" s="8">
        <v>2.88</v>
      </c>
      <c r="I36" s="12">
        <v>0</v>
      </c>
    </row>
    <row r="37" spans="2:9" ht="15" customHeight="1" x14ac:dyDescent="0.2">
      <c r="B37" t="s">
        <v>107</v>
      </c>
      <c r="C37" s="12">
        <v>126</v>
      </c>
      <c r="D37" s="8">
        <v>2.38</v>
      </c>
      <c r="E37" s="12">
        <v>4</v>
      </c>
      <c r="F37" s="8">
        <v>0.2</v>
      </c>
      <c r="G37" s="12">
        <v>122</v>
      </c>
      <c r="H37" s="8">
        <v>3.7</v>
      </c>
      <c r="I37" s="12">
        <v>0</v>
      </c>
    </row>
    <row r="38" spans="2:9" ht="15" customHeight="1" x14ac:dyDescent="0.2">
      <c r="B38" t="s">
        <v>103</v>
      </c>
      <c r="C38" s="12">
        <v>104</v>
      </c>
      <c r="D38" s="8">
        <v>1.96</v>
      </c>
      <c r="E38" s="12">
        <v>38</v>
      </c>
      <c r="F38" s="8">
        <v>1.91</v>
      </c>
      <c r="G38" s="12">
        <v>66</v>
      </c>
      <c r="H38" s="8">
        <v>2</v>
      </c>
      <c r="I38" s="12">
        <v>0</v>
      </c>
    </row>
    <row r="39" spans="2:9" ht="15" customHeight="1" x14ac:dyDescent="0.2">
      <c r="B39" t="s">
        <v>113</v>
      </c>
      <c r="C39" s="12">
        <v>92</v>
      </c>
      <c r="D39" s="8">
        <v>1.74</v>
      </c>
      <c r="E39" s="12">
        <v>30</v>
      </c>
      <c r="F39" s="8">
        <v>1.51</v>
      </c>
      <c r="G39" s="12">
        <v>62</v>
      </c>
      <c r="H39" s="8">
        <v>1.88</v>
      </c>
      <c r="I39" s="12">
        <v>0</v>
      </c>
    </row>
    <row r="40" spans="2:9" ht="15" customHeight="1" x14ac:dyDescent="0.2">
      <c r="B40" t="s">
        <v>100</v>
      </c>
      <c r="C40" s="12">
        <v>77</v>
      </c>
      <c r="D40" s="8">
        <v>1.45</v>
      </c>
      <c r="E40" s="12">
        <v>15</v>
      </c>
      <c r="F40" s="8">
        <v>0.75</v>
      </c>
      <c r="G40" s="12">
        <v>62</v>
      </c>
      <c r="H40" s="8">
        <v>1.88</v>
      </c>
      <c r="I40" s="12">
        <v>0</v>
      </c>
    </row>
    <row r="41" spans="2:9" ht="15" customHeight="1" x14ac:dyDescent="0.2">
      <c r="B41" t="s">
        <v>102</v>
      </c>
      <c r="C41" s="12">
        <v>75</v>
      </c>
      <c r="D41" s="8">
        <v>1.42</v>
      </c>
      <c r="E41" s="12">
        <v>5</v>
      </c>
      <c r="F41" s="8">
        <v>0.25</v>
      </c>
      <c r="G41" s="12">
        <v>70</v>
      </c>
      <c r="H41" s="8">
        <v>2.12</v>
      </c>
      <c r="I41" s="12">
        <v>0</v>
      </c>
    </row>
    <row r="42" spans="2:9" ht="15" customHeight="1" x14ac:dyDescent="0.2">
      <c r="B42" t="s">
        <v>101</v>
      </c>
      <c r="C42" s="12">
        <v>73</v>
      </c>
      <c r="D42" s="8">
        <v>1.38</v>
      </c>
      <c r="E42" s="12">
        <v>10</v>
      </c>
      <c r="F42" s="8">
        <v>0.5</v>
      </c>
      <c r="G42" s="12">
        <v>63</v>
      </c>
      <c r="H42" s="8">
        <v>1.91</v>
      </c>
      <c r="I42" s="12">
        <v>0</v>
      </c>
    </row>
    <row r="43" spans="2:9" ht="15" customHeight="1" x14ac:dyDescent="0.2">
      <c r="B43" t="s">
        <v>117</v>
      </c>
      <c r="C43" s="12">
        <v>67</v>
      </c>
      <c r="D43" s="8">
        <v>1.26</v>
      </c>
      <c r="E43" s="12">
        <v>12</v>
      </c>
      <c r="F43" s="8">
        <v>0.6</v>
      </c>
      <c r="G43" s="12">
        <v>55</v>
      </c>
      <c r="H43" s="8">
        <v>1.67</v>
      </c>
      <c r="I43" s="12">
        <v>0</v>
      </c>
    </row>
    <row r="44" spans="2:9" ht="15" customHeight="1" x14ac:dyDescent="0.2">
      <c r="B44" t="s">
        <v>119</v>
      </c>
      <c r="C44" s="12">
        <v>67</v>
      </c>
      <c r="D44" s="8">
        <v>1.26</v>
      </c>
      <c r="E44" s="12">
        <v>3</v>
      </c>
      <c r="F44" s="8">
        <v>0.15</v>
      </c>
      <c r="G44" s="12">
        <v>63</v>
      </c>
      <c r="H44" s="8">
        <v>1.91</v>
      </c>
      <c r="I44" s="12">
        <v>1</v>
      </c>
    </row>
    <row r="47" spans="2:9" ht="33" customHeight="1" x14ac:dyDescent="0.2">
      <c r="B47" t="s">
        <v>271</v>
      </c>
      <c r="C47" s="10" t="s">
        <v>90</v>
      </c>
      <c r="D47" s="10" t="s">
        <v>91</v>
      </c>
      <c r="E47" s="10" t="s">
        <v>92</v>
      </c>
      <c r="F47" s="10" t="s">
        <v>93</v>
      </c>
      <c r="G47" s="10" t="s">
        <v>94</v>
      </c>
      <c r="H47" s="10" t="s">
        <v>95</v>
      </c>
      <c r="I47" s="10" t="s">
        <v>96</v>
      </c>
    </row>
    <row r="48" spans="2:9" ht="15" customHeight="1" x14ac:dyDescent="0.2">
      <c r="B48" t="s">
        <v>173</v>
      </c>
      <c r="C48" s="12">
        <v>262</v>
      </c>
      <c r="D48" s="8">
        <v>4.95</v>
      </c>
      <c r="E48" s="12">
        <v>212</v>
      </c>
      <c r="F48" s="8">
        <v>10.65</v>
      </c>
      <c r="G48" s="12">
        <v>50</v>
      </c>
      <c r="H48" s="8">
        <v>1.52</v>
      </c>
      <c r="I48" s="12">
        <v>0</v>
      </c>
    </row>
    <row r="49" spans="2:9" ht="15" customHeight="1" x14ac:dyDescent="0.2">
      <c r="B49" t="s">
        <v>167</v>
      </c>
      <c r="C49" s="12">
        <v>205</v>
      </c>
      <c r="D49" s="8">
        <v>3.87</v>
      </c>
      <c r="E49" s="12">
        <v>68</v>
      </c>
      <c r="F49" s="8">
        <v>3.42</v>
      </c>
      <c r="G49" s="12">
        <v>136</v>
      </c>
      <c r="H49" s="8">
        <v>4.13</v>
      </c>
      <c r="I49" s="12">
        <v>0</v>
      </c>
    </row>
    <row r="50" spans="2:9" ht="15" customHeight="1" x14ac:dyDescent="0.2">
      <c r="B50" t="s">
        <v>175</v>
      </c>
      <c r="C50" s="12">
        <v>173</v>
      </c>
      <c r="D50" s="8">
        <v>3.27</v>
      </c>
      <c r="E50" s="12">
        <v>154</v>
      </c>
      <c r="F50" s="8">
        <v>7.73</v>
      </c>
      <c r="G50" s="12">
        <v>19</v>
      </c>
      <c r="H50" s="8">
        <v>0.57999999999999996</v>
      </c>
      <c r="I50" s="12">
        <v>0</v>
      </c>
    </row>
    <row r="51" spans="2:9" ht="15" customHeight="1" x14ac:dyDescent="0.2">
      <c r="B51" t="s">
        <v>172</v>
      </c>
      <c r="C51" s="12">
        <v>152</v>
      </c>
      <c r="D51" s="8">
        <v>2.87</v>
      </c>
      <c r="E51" s="12">
        <v>140</v>
      </c>
      <c r="F51" s="8">
        <v>7.03</v>
      </c>
      <c r="G51" s="12">
        <v>12</v>
      </c>
      <c r="H51" s="8">
        <v>0.36</v>
      </c>
      <c r="I51" s="12">
        <v>0</v>
      </c>
    </row>
    <row r="52" spans="2:9" ht="15" customHeight="1" x14ac:dyDescent="0.2">
      <c r="B52" t="s">
        <v>174</v>
      </c>
      <c r="C52" s="12">
        <v>145</v>
      </c>
      <c r="D52" s="8">
        <v>2.74</v>
      </c>
      <c r="E52" s="12">
        <v>100</v>
      </c>
      <c r="F52" s="8">
        <v>5.0199999999999996</v>
      </c>
      <c r="G52" s="12">
        <v>44</v>
      </c>
      <c r="H52" s="8">
        <v>1.34</v>
      </c>
      <c r="I52" s="12">
        <v>1</v>
      </c>
    </row>
    <row r="53" spans="2:9" ht="15" customHeight="1" x14ac:dyDescent="0.2">
      <c r="B53" t="s">
        <v>166</v>
      </c>
      <c r="C53" s="12">
        <v>140</v>
      </c>
      <c r="D53" s="8">
        <v>2.64</v>
      </c>
      <c r="E53" s="12">
        <v>19</v>
      </c>
      <c r="F53" s="8">
        <v>0.95</v>
      </c>
      <c r="G53" s="12">
        <v>121</v>
      </c>
      <c r="H53" s="8">
        <v>3.67</v>
      </c>
      <c r="I53" s="12">
        <v>0</v>
      </c>
    </row>
    <row r="54" spans="2:9" ht="15" customHeight="1" x14ac:dyDescent="0.2">
      <c r="B54" t="s">
        <v>170</v>
      </c>
      <c r="C54" s="12">
        <v>120</v>
      </c>
      <c r="D54" s="8">
        <v>2.27</v>
      </c>
      <c r="E54" s="12">
        <v>105</v>
      </c>
      <c r="F54" s="8">
        <v>5.27</v>
      </c>
      <c r="G54" s="12">
        <v>15</v>
      </c>
      <c r="H54" s="8">
        <v>0.46</v>
      </c>
      <c r="I54" s="12">
        <v>0</v>
      </c>
    </row>
    <row r="55" spans="2:9" ht="15" customHeight="1" x14ac:dyDescent="0.2">
      <c r="B55" t="s">
        <v>169</v>
      </c>
      <c r="C55" s="12">
        <v>115</v>
      </c>
      <c r="D55" s="8">
        <v>2.17</v>
      </c>
      <c r="E55" s="12">
        <v>88</v>
      </c>
      <c r="F55" s="8">
        <v>4.42</v>
      </c>
      <c r="G55" s="12">
        <v>27</v>
      </c>
      <c r="H55" s="8">
        <v>0.82</v>
      </c>
      <c r="I55" s="12">
        <v>0</v>
      </c>
    </row>
    <row r="56" spans="2:9" ht="15" customHeight="1" x14ac:dyDescent="0.2">
      <c r="B56" t="s">
        <v>168</v>
      </c>
      <c r="C56" s="12">
        <v>111</v>
      </c>
      <c r="D56" s="8">
        <v>2.1</v>
      </c>
      <c r="E56" s="12">
        <v>3</v>
      </c>
      <c r="F56" s="8">
        <v>0.15</v>
      </c>
      <c r="G56" s="12">
        <v>107</v>
      </c>
      <c r="H56" s="8">
        <v>3.25</v>
      </c>
      <c r="I56" s="12">
        <v>0</v>
      </c>
    </row>
    <row r="57" spans="2:9" ht="15" customHeight="1" x14ac:dyDescent="0.2">
      <c r="B57" t="s">
        <v>164</v>
      </c>
      <c r="C57" s="12">
        <v>109</v>
      </c>
      <c r="D57" s="8">
        <v>2.06</v>
      </c>
      <c r="E57" s="12">
        <v>51</v>
      </c>
      <c r="F57" s="8">
        <v>2.56</v>
      </c>
      <c r="G57" s="12">
        <v>57</v>
      </c>
      <c r="H57" s="8">
        <v>1.73</v>
      </c>
      <c r="I57" s="12">
        <v>1</v>
      </c>
    </row>
    <row r="58" spans="2:9" ht="15" customHeight="1" x14ac:dyDescent="0.2">
      <c r="B58" t="s">
        <v>162</v>
      </c>
      <c r="C58" s="12">
        <v>105</v>
      </c>
      <c r="D58" s="8">
        <v>1.98</v>
      </c>
      <c r="E58" s="12">
        <v>58</v>
      </c>
      <c r="F58" s="8">
        <v>2.91</v>
      </c>
      <c r="G58" s="12">
        <v>46</v>
      </c>
      <c r="H58" s="8">
        <v>1.4</v>
      </c>
      <c r="I58" s="12">
        <v>1</v>
      </c>
    </row>
    <row r="59" spans="2:9" ht="15" customHeight="1" x14ac:dyDescent="0.2">
      <c r="B59" t="s">
        <v>177</v>
      </c>
      <c r="C59" s="12">
        <v>99</v>
      </c>
      <c r="D59" s="8">
        <v>1.87</v>
      </c>
      <c r="E59" s="12">
        <v>9</v>
      </c>
      <c r="F59" s="8">
        <v>0.45</v>
      </c>
      <c r="G59" s="12">
        <v>90</v>
      </c>
      <c r="H59" s="8">
        <v>2.73</v>
      </c>
      <c r="I59" s="12">
        <v>0</v>
      </c>
    </row>
    <row r="60" spans="2:9" ht="15" customHeight="1" x14ac:dyDescent="0.2">
      <c r="B60" t="s">
        <v>165</v>
      </c>
      <c r="C60" s="12">
        <v>87</v>
      </c>
      <c r="D60" s="8">
        <v>1.64</v>
      </c>
      <c r="E60" s="12">
        <v>4</v>
      </c>
      <c r="F60" s="8">
        <v>0.2</v>
      </c>
      <c r="G60" s="12">
        <v>83</v>
      </c>
      <c r="H60" s="8">
        <v>2.52</v>
      </c>
      <c r="I60" s="12">
        <v>0</v>
      </c>
    </row>
    <row r="61" spans="2:9" ht="15" customHeight="1" x14ac:dyDescent="0.2">
      <c r="B61" t="s">
        <v>163</v>
      </c>
      <c r="C61" s="12">
        <v>82</v>
      </c>
      <c r="D61" s="8">
        <v>1.55</v>
      </c>
      <c r="E61" s="12">
        <v>32</v>
      </c>
      <c r="F61" s="8">
        <v>1.61</v>
      </c>
      <c r="G61" s="12">
        <v>50</v>
      </c>
      <c r="H61" s="8">
        <v>1.52</v>
      </c>
      <c r="I61" s="12">
        <v>0</v>
      </c>
    </row>
    <row r="62" spans="2:9" ht="15" customHeight="1" x14ac:dyDescent="0.2">
      <c r="B62" t="s">
        <v>158</v>
      </c>
      <c r="C62" s="12">
        <v>80</v>
      </c>
      <c r="D62" s="8">
        <v>1.51</v>
      </c>
      <c r="E62" s="12">
        <v>10</v>
      </c>
      <c r="F62" s="8">
        <v>0.5</v>
      </c>
      <c r="G62" s="12">
        <v>70</v>
      </c>
      <c r="H62" s="8">
        <v>2.12</v>
      </c>
      <c r="I62" s="12">
        <v>0</v>
      </c>
    </row>
    <row r="63" spans="2:9" ht="15" customHeight="1" x14ac:dyDescent="0.2">
      <c r="B63" t="s">
        <v>160</v>
      </c>
      <c r="C63" s="12">
        <v>79</v>
      </c>
      <c r="D63" s="8">
        <v>1.49</v>
      </c>
      <c r="E63" s="12">
        <v>6</v>
      </c>
      <c r="F63" s="8">
        <v>0.3</v>
      </c>
      <c r="G63" s="12">
        <v>73</v>
      </c>
      <c r="H63" s="8">
        <v>2.2200000000000002</v>
      </c>
      <c r="I63" s="12">
        <v>0</v>
      </c>
    </row>
    <row r="64" spans="2:9" ht="15" customHeight="1" x14ac:dyDescent="0.2">
      <c r="B64" t="s">
        <v>161</v>
      </c>
      <c r="C64" s="12">
        <v>79</v>
      </c>
      <c r="D64" s="8">
        <v>1.49</v>
      </c>
      <c r="E64" s="12">
        <v>10</v>
      </c>
      <c r="F64" s="8">
        <v>0.5</v>
      </c>
      <c r="G64" s="12">
        <v>69</v>
      </c>
      <c r="H64" s="8">
        <v>2.09</v>
      </c>
      <c r="I64" s="12">
        <v>0</v>
      </c>
    </row>
    <row r="65" spans="2:9" ht="15" customHeight="1" x14ac:dyDescent="0.2">
      <c r="B65" t="s">
        <v>178</v>
      </c>
      <c r="C65" s="12">
        <v>77</v>
      </c>
      <c r="D65" s="8">
        <v>1.45</v>
      </c>
      <c r="E65" s="12">
        <v>14</v>
      </c>
      <c r="F65" s="8">
        <v>0.7</v>
      </c>
      <c r="G65" s="12">
        <v>62</v>
      </c>
      <c r="H65" s="8">
        <v>1.88</v>
      </c>
      <c r="I65" s="12">
        <v>0</v>
      </c>
    </row>
    <row r="66" spans="2:9" ht="15" customHeight="1" x14ac:dyDescent="0.2">
      <c r="B66" t="s">
        <v>182</v>
      </c>
      <c r="C66" s="12">
        <v>75</v>
      </c>
      <c r="D66" s="8">
        <v>1.42</v>
      </c>
      <c r="E66" s="12">
        <v>12</v>
      </c>
      <c r="F66" s="8">
        <v>0.6</v>
      </c>
      <c r="G66" s="12">
        <v>63</v>
      </c>
      <c r="H66" s="8">
        <v>1.91</v>
      </c>
      <c r="I66" s="12">
        <v>0</v>
      </c>
    </row>
    <row r="67" spans="2:9" ht="15" customHeight="1" x14ac:dyDescent="0.2">
      <c r="B67" t="s">
        <v>157</v>
      </c>
      <c r="C67" s="12">
        <v>73</v>
      </c>
      <c r="D67" s="8">
        <v>1.38</v>
      </c>
      <c r="E67" s="12">
        <v>3</v>
      </c>
      <c r="F67" s="8">
        <v>0.15</v>
      </c>
      <c r="G67" s="12">
        <v>70</v>
      </c>
      <c r="H67" s="8">
        <v>2.12</v>
      </c>
      <c r="I67" s="12">
        <v>0</v>
      </c>
    </row>
    <row r="69" spans="2:9" ht="15" customHeight="1" x14ac:dyDescent="0.2">
      <c r="B69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B00F-FDC7-48EB-AFDF-E424FC874F66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290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277</v>
      </c>
      <c r="D6" s="8">
        <v>15.86</v>
      </c>
      <c r="E6" s="12">
        <v>117</v>
      </c>
      <c r="F6" s="8">
        <v>12.06</v>
      </c>
      <c r="G6" s="12">
        <v>160</v>
      </c>
      <c r="H6" s="8">
        <v>21.14</v>
      </c>
      <c r="I6" s="12">
        <v>0</v>
      </c>
    </row>
    <row r="7" spans="2:9" ht="15" customHeight="1" x14ac:dyDescent="0.2">
      <c r="B7" t="s">
        <v>76</v>
      </c>
      <c r="C7" s="12">
        <v>187</v>
      </c>
      <c r="D7" s="8">
        <v>10.7</v>
      </c>
      <c r="E7" s="12">
        <v>75</v>
      </c>
      <c r="F7" s="8">
        <v>7.73</v>
      </c>
      <c r="G7" s="12">
        <v>112</v>
      </c>
      <c r="H7" s="8">
        <v>14.8</v>
      </c>
      <c r="I7" s="12">
        <v>0</v>
      </c>
    </row>
    <row r="8" spans="2:9" ht="15" customHeight="1" x14ac:dyDescent="0.2">
      <c r="B8" t="s">
        <v>77</v>
      </c>
      <c r="C8" s="12">
        <v>2</v>
      </c>
      <c r="D8" s="8">
        <v>0.11</v>
      </c>
      <c r="E8" s="12">
        <v>0</v>
      </c>
      <c r="F8" s="8">
        <v>0</v>
      </c>
      <c r="G8" s="12">
        <v>1</v>
      </c>
      <c r="H8" s="8">
        <v>0.13</v>
      </c>
      <c r="I8" s="12">
        <v>0</v>
      </c>
    </row>
    <row r="9" spans="2:9" ht="15" customHeight="1" x14ac:dyDescent="0.2">
      <c r="B9" t="s">
        <v>78</v>
      </c>
      <c r="C9" s="12">
        <v>15</v>
      </c>
      <c r="D9" s="8">
        <v>0.86</v>
      </c>
      <c r="E9" s="12">
        <v>0</v>
      </c>
      <c r="F9" s="8">
        <v>0</v>
      </c>
      <c r="G9" s="12">
        <v>15</v>
      </c>
      <c r="H9" s="8">
        <v>1.98</v>
      </c>
      <c r="I9" s="12">
        <v>0</v>
      </c>
    </row>
    <row r="10" spans="2:9" ht="15" customHeight="1" x14ac:dyDescent="0.2">
      <c r="B10" t="s">
        <v>79</v>
      </c>
      <c r="C10" s="12">
        <v>15</v>
      </c>
      <c r="D10" s="8">
        <v>0.86</v>
      </c>
      <c r="E10" s="12">
        <v>2</v>
      </c>
      <c r="F10" s="8">
        <v>0.21</v>
      </c>
      <c r="G10" s="12">
        <v>13</v>
      </c>
      <c r="H10" s="8">
        <v>1.72</v>
      </c>
      <c r="I10" s="12">
        <v>0</v>
      </c>
    </row>
    <row r="11" spans="2:9" ht="15" customHeight="1" x14ac:dyDescent="0.2">
      <c r="B11" t="s">
        <v>80</v>
      </c>
      <c r="C11" s="12">
        <v>354</v>
      </c>
      <c r="D11" s="8">
        <v>20.260000000000002</v>
      </c>
      <c r="E11" s="12">
        <v>199</v>
      </c>
      <c r="F11" s="8">
        <v>20.52</v>
      </c>
      <c r="G11" s="12">
        <v>155</v>
      </c>
      <c r="H11" s="8">
        <v>20.48</v>
      </c>
      <c r="I11" s="12">
        <v>0</v>
      </c>
    </row>
    <row r="12" spans="2:9" ht="15" customHeight="1" x14ac:dyDescent="0.2">
      <c r="B12" t="s">
        <v>81</v>
      </c>
      <c r="C12" s="12">
        <v>4</v>
      </c>
      <c r="D12" s="8">
        <v>0.23</v>
      </c>
      <c r="E12" s="12">
        <v>1</v>
      </c>
      <c r="F12" s="8">
        <v>0.1</v>
      </c>
      <c r="G12" s="12">
        <v>3</v>
      </c>
      <c r="H12" s="8">
        <v>0.4</v>
      </c>
      <c r="I12" s="12">
        <v>0</v>
      </c>
    </row>
    <row r="13" spans="2:9" ht="15" customHeight="1" x14ac:dyDescent="0.2">
      <c r="B13" t="s">
        <v>82</v>
      </c>
      <c r="C13" s="12">
        <v>144</v>
      </c>
      <c r="D13" s="8">
        <v>8.24</v>
      </c>
      <c r="E13" s="12">
        <v>63</v>
      </c>
      <c r="F13" s="8">
        <v>6.49</v>
      </c>
      <c r="G13" s="12">
        <v>81</v>
      </c>
      <c r="H13" s="8">
        <v>10.7</v>
      </c>
      <c r="I13" s="12">
        <v>0</v>
      </c>
    </row>
    <row r="14" spans="2:9" ht="15" customHeight="1" x14ac:dyDescent="0.2">
      <c r="B14" t="s">
        <v>83</v>
      </c>
      <c r="C14" s="12">
        <v>84</v>
      </c>
      <c r="D14" s="8">
        <v>4.8099999999999996</v>
      </c>
      <c r="E14" s="12">
        <v>41</v>
      </c>
      <c r="F14" s="8">
        <v>4.2300000000000004</v>
      </c>
      <c r="G14" s="12">
        <v>43</v>
      </c>
      <c r="H14" s="8">
        <v>5.68</v>
      </c>
      <c r="I14" s="12">
        <v>0</v>
      </c>
    </row>
    <row r="15" spans="2:9" ht="15" customHeight="1" x14ac:dyDescent="0.2">
      <c r="B15" t="s">
        <v>84</v>
      </c>
      <c r="C15" s="12">
        <v>216</v>
      </c>
      <c r="D15" s="8">
        <v>12.36</v>
      </c>
      <c r="E15" s="12">
        <v>175</v>
      </c>
      <c r="F15" s="8">
        <v>18.04</v>
      </c>
      <c r="G15" s="12">
        <v>41</v>
      </c>
      <c r="H15" s="8">
        <v>5.42</v>
      </c>
      <c r="I15" s="12">
        <v>0</v>
      </c>
    </row>
    <row r="16" spans="2:9" ht="15" customHeight="1" x14ac:dyDescent="0.2">
      <c r="B16" t="s">
        <v>85</v>
      </c>
      <c r="C16" s="12">
        <v>195</v>
      </c>
      <c r="D16" s="8">
        <v>11.16</v>
      </c>
      <c r="E16" s="12">
        <v>155</v>
      </c>
      <c r="F16" s="8">
        <v>15.98</v>
      </c>
      <c r="G16" s="12">
        <v>39</v>
      </c>
      <c r="H16" s="8">
        <v>5.15</v>
      </c>
      <c r="I16" s="12">
        <v>0</v>
      </c>
    </row>
    <row r="17" spans="2:9" ht="15" customHeight="1" x14ac:dyDescent="0.2">
      <c r="B17" t="s">
        <v>86</v>
      </c>
      <c r="C17" s="12">
        <v>82</v>
      </c>
      <c r="D17" s="8">
        <v>4.6900000000000004</v>
      </c>
      <c r="E17" s="12">
        <v>56</v>
      </c>
      <c r="F17" s="8">
        <v>5.77</v>
      </c>
      <c r="G17" s="12">
        <v>13</v>
      </c>
      <c r="H17" s="8">
        <v>1.72</v>
      </c>
      <c r="I17" s="12">
        <v>1</v>
      </c>
    </row>
    <row r="18" spans="2:9" ht="15" customHeight="1" x14ac:dyDescent="0.2">
      <c r="B18" t="s">
        <v>87</v>
      </c>
      <c r="C18" s="12">
        <v>109</v>
      </c>
      <c r="D18" s="8">
        <v>6.24</v>
      </c>
      <c r="E18" s="12">
        <v>55</v>
      </c>
      <c r="F18" s="8">
        <v>5.67</v>
      </c>
      <c r="G18" s="12">
        <v>51</v>
      </c>
      <c r="H18" s="8">
        <v>6.74</v>
      </c>
      <c r="I18" s="12">
        <v>1</v>
      </c>
    </row>
    <row r="19" spans="2:9" ht="15" customHeight="1" x14ac:dyDescent="0.2">
      <c r="B19" t="s">
        <v>88</v>
      </c>
      <c r="C19" s="12">
        <v>63</v>
      </c>
      <c r="D19" s="8">
        <v>3.61</v>
      </c>
      <c r="E19" s="12">
        <v>31</v>
      </c>
      <c r="F19" s="8">
        <v>3.2</v>
      </c>
      <c r="G19" s="12">
        <v>30</v>
      </c>
      <c r="H19" s="8">
        <v>3.96</v>
      </c>
      <c r="I19" s="12">
        <v>1</v>
      </c>
    </row>
    <row r="20" spans="2:9" ht="15" customHeight="1" x14ac:dyDescent="0.2">
      <c r="B20" s="9" t="s">
        <v>269</v>
      </c>
      <c r="C20" s="12">
        <f>SUM(LTBL_11209[総数／事業所数])</f>
        <v>1747</v>
      </c>
      <c r="E20" s="12">
        <f>SUBTOTAL(109,LTBL_11209[個人／事業所数])</f>
        <v>970</v>
      </c>
      <c r="G20" s="12">
        <f>SUBTOTAL(109,LTBL_11209[法人／事業所数])</f>
        <v>757</v>
      </c>
      <c r="I20" s="12">
        <f>SUBTOTAL(109,LTBL_11209[法人以外の団体／事業所数])</f>
        <v>3</v>
      </c>
    </row>
    <row r="21" spans="2:9" ht="15" customHeight="1" x14ac:dyDescent="0.2">
      <c r="E21" s="11">
        <f>LTBL_11209[[#Totals],[個人／事業所数]]/LTBL_11209[[#Totals],[総数／事業所数]]</f>
        <v>0.55523755008586151</v>
      </c>
      <c r="G21" s="11">
        <f>LTBL_11209[[#Totals],[法人／事業所数]]/LTBL_11209[[#Totals],[総数／事業所数]]</f>
        <v>0.43331425300515169</v>
      </c>
      <c r="I21" s="11">
        <f>LTBL_11209[[#Totals],[法人以外の団体／事業所数]]/LTBL_11209[[#Totals],[総数／事業所数]]</f>
        <v>1.7172295363480253E-3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111</v>
      </c>
      <c r="C24" s="12">
        <v>194</v>
      </c>
      <c r="D24" s="8">
        <v>11.1</v>
      </c>
      <c r="E24" s="12">
        <v>168</v>
      </c>
      <c r="F24" s="8">
        <v>17.32</v>
      </c>
      <c r="G24" s="12">
        <v>26</v>
      </c>
      <c r="H24" s="8">
        <v>3.43</v>
      </c>
      <c r="I24" s="12">
        <v>0</v>
      </c>
    </row>
    <row r="25" spans="2:9" ht="15" customHeight="1" x14ac:dyDescent="0.2">
      <c r="B25" t="s">
        <v>112</v>
      </c>
      <c r="C25" s="12">
        <v>156</v>
      </c>
      <c r="D25" s="8">
        <v>8.93</v>
      </c>
      <c r="E25" s="12">
        <v>139</v>
      </c>
      <c r="F25" s="8">
        <v>14.33</v>
      </c>
      <c r="G25" s="12">
        <v>17</v>
      </c>
      <c r="H25" s="8">
        <v>2.25</v>
      </c>
      <c r="I25" s="12">
        <v>0</v>
      </c>
    </row>
    <row r="26" spans="2:9" ht="15" customHeight="1" x14ac:dyDescent="0.2">
      <c r="B26" t="s">
        <v>97</v>
      </c>
      <c r="C26" s="12">
        <v>114</v>
      </c>
      <c r="D26" s="8">
        <v>6.53</v>
      </c>
      <c r="E26" s="12">
        <v>42</v>
      </c>
      <c r="F26" s="8">
        <v>4.33</v>
      </c>
      <c r="G26" s="12">
        <v>72</v>
      </c>
      <c r="H26" s="8">
        <v>9.51</v>
      </c>
      <c r="I26" s="12">
        <v>0</v>
      </c>
    </row>
    <row r="27" spans="2:9" ht="15" customHeight="1" x14ac:dyDescent="0.2">
      <c r="B27" t="s">
        <v>108</v>
      </c>
      <c r="C27" s="12">
        <v>113</v>
      </c>
      <c r="D27" s="8">
        <v>6.47</v>
      </c>
      <c r="E27" s="12">
        <v>60</v>
      </c>
      <c r="F27" s="8">
        <v>6.19</v>
      </c>
      <c r="G27" s="12">
        <v>53</v>
      </c>
      <c r="H27" s="8">
        <v>7</v>
      </c>
      <c r="I27" s="12">
        <v>0</v>
      </c>
    </row>
    <row r="28" spans="2:9" ht="15" customHeight="1" x14ac:dyDescent="0.2">
      <c r="B28" t="s">
        <v>98</v>
      </c>
      <c r="C28" s="12">
        <v>104</v>
      </c>
      <c r="D28" s="8">
        <v>5.95</v>
      </c>
      <c r="E28" s="12">
        <v>58</v>
      </c>
      <c r="F28" s="8">
        <v>5.98</v>
      </c>
      <c r="G28" s="12">
        <v>46</v>
      </c>
      <c r="H28" s="8">
        <v>6.08</v>
      </c>
      <c r="I28" s="12">
        <v>0</v>
      </c>
    </row>
    <row r="29" spans="2:9" ht="15" customHeight="1" x14ac:dyDescent="0.2">
      <c r="B29" t="s">
        <v>104</v>
      </c>
      <c r="C29" s="12">
        <v>99</v>
      </c>
      <c r="D29" s="8">
        <v>5.67</v>
      </c>
      <c r="E29" s="12">
        <v>76</v>
      </c>
      <c r="F29" s="8">
        <v>7.84</v>
      </c>
      <c r="G29" s="12">
        <v>23</v>
      </c>
      <c r="H29" s="8">
        <v>3.04</v>
      </c>
      <c r="I29" s="12">
        <v>0</v>
      </c>
    </row>
    <row r="30" spans="2:9" ht="15" customHeight="1" x14ac:dyDescent="0.2">
      <c r="B30" t="s">
        <v>106</v>
      </c>
      <c r="C30" s="12">
        <v>98</v>
      </c>
      <c r="D30" s="8">
        <v>5.61</v>
      </c>
      <c r="E30" s="12">
        <v>52</v>
      </c>
      <c r="F30" s="8">
        <v>5.36</v>
      </c>
      <c r="G30" s="12">
        <v>46</v>
      </c>
      <c r="H30" s="8">
        <v>6.08</v>
      </c>
      <c r="I30" s="12">
        <v>0</v>
      </c>
    </row>
    <row r="31" spans="2:9" ht="15" customHeight="1" x14ac:dyDescent="0.2">
      <c r="B31" t="s">
        <v>114</v>
      </c>
      <c r="C31" s="12">
        <v>82</v>
      </c>
      <c r="D31" s="8">
        <v>4.6900000000000004</v>
      </c>
      <c r="E31" s="12">
        <v>56</v>
      </c>
      <c r="F31" s="8">
        <v>5.77</v>
      </c>
      <c r="G31" s="12">
        <v>13</v>
      </c>
      <c r="H31" s="8">
        <v>1.72</v>
      </c>
      <c r="I31" s="12">
        <v>1</v>
      </c>
    </row>
    <row r="32" spans="2:9" ht="15" customHeight="1" x14ac:dyDescent="0.2">
      <c r="B32" t="s">
        <v>115</v>
      </c>
      <c r="C32" s="12">
        <v>62</v>
      </c>
      <c r="D32" s="8">
        <v>3.55</v>
      </c>
      <c r="E32" s="12">
        <v>55</v>
      </c>
      <c r="F32" s="8">
        <v>5.67</v>
      </c>
      <c r="G32" s="12">
        <v>7</v>
      </c>
      <c r="H32" s="8">
        <v>0.92</v>
      </c>
      <c r="I32" s="12">
        <v>0</v>
      </c>
    </row>
    <row r="33" spans="2:9" ht="15" customHeight="1" x14ac:dyDescent="0.2">
      <c r="B33" t="s">
        <v>99</v>
      </c>
      <c r="C33" s="12">
        <v>59</v>
      </c>
      <c r="D33" s="8">
        <v>3.38</v>
      </c>
      <c r="E33" s="12">
        <v>17</v>
      </c>
      <c r="F33" s="8">
        <v>1.75</v>
      </c>
      <c r="G33" s="12">
        <v>42</v>
      </c>
      <c r="H33" s="8">
        <v>5.55</v>
      </c>
      <c r="I33" s="12">
        <v>0</v>
      </c>
    </row>
    <row r="34" spans="2:9" ht="15" customHeight="1" x14ac:dyDescent="0.2">
      <c r="B34" t="s">
        <v>105</v>
      </c>
      <c r="C34" s="12">
        <v>50</v>
      </c>
      <c r="D34" s="8">
        <v>2.86</v>
      </c>
      <c r="E34" s="12">
        <v>33</v>
      </c>
      <c r="F34" s="8">
        <v>3.4</v>
      </c>
      <c r="G34" s="12">
        <v>17</v>
      </c>
      <c r="H34" s="8">
        <v>2.25</v>
      </c>
      <c r="I34" s="12">
        <v>0</v>
      </c>
    </row>
    <row r="35" spans="2:9" ht="15" customHeight="1" x14ac:dyDescent="0.2">
      <c r="B35" t="s">
        <v>109</v>
      </c>
      <c r="C35" s="12">
        <v>48</v>
      </c>
      <c r="D35" s="8">
        <v>2.75</v>
      </c>
      <c r="E35" s="12">
        <v>23</v>
      </c>
      <c r="F35" s="8">
        <v>2.37</v>
      </c>
      <c r="G35" s="12">
        <v>25</v>
      </c>
      <c r="H35" s="8">
        <v>3.3</v>
      </c>
      <c r="I35" s="12">
        <v>0</v>
      </c>
    </row>
    <row r="36" spans="2:9" ht="15" customHeight="1" x14ac:dyDescent="0.2">
      <c r="B36" t="s">
        <v>118</v>
      </c>
      <c r="C36" s="12">
        <v>47</v>
      </c>
      <c r="D36" s="8">
        <v>2.69</v>
      </c>
      <c r="E36" s="12">
        <v>0</v>
      </c>
      <c r="F36" s="8">
        <v>0</v>
      </c>
      <c r="G36" s="12">
        <v>44</v>
      </c>
      <c r="H36" s="8">
        <v>5.81</v>
      </c>
      <c r="I36" s="12">
        <v>1</v>
      </c>
    </row>
    <row r="37" spans="2:9" ht="15" customHeight="1" x14ac:dyDescent="0.2">
      <c r="B37" t="s">
        <v>103</v>
      </c>
      <c r="C37" s="12">
        <v>42</v>
      </c>
      <c r="D37" s="8">
        <v>2.4</v>
      </c>
      <c r="E37" s="12">
        <v>23</v>
      </c>
      <c r="F37" s="8">
        <v>2.37</v>
      </c>
      <c r="G37" s="12">
        <v>19</v>
      </c>
      <c r="H37" s="8">
        <v>2.5099999999999998</v>
      </c>
      <c r="I37" s="12">
        <v>0</v>
      </c>
    </row>
    <row r="38" spans="2:9" ht="15" customHeight="1" x14ac:dyDescent="0.2">
      <c r="B38" t="s">
        <v>110</v>
      </c>
      <c r="C38" s="12">
        <v>35</v>
      </c>
      <c r="D38" s="8">
        <v>2</v>
      </c>
      <c r="E38" s="12">
        <v>17</v>
      </c>
      <c r="F38" s="8">
        <v>1.75</v>
      </c>
      <c r="G38" s="12">
        <v>18</v>
      </c>
      <c r="H38" s="8">
        <v>2.38</v>
      </c>
      <c r="I38" s="12">
        <v>0</v>
      </c>
    </row>
    <row r="39" spans="2:9" ht="15" customHeight="1" x14ac:dyDescent="0.2">
      <c r="B39" t="s">
        <v>116</v>
      </c>
      <c r="C39" s="12">
        <v>33</v>
      </c>
      <c r="D39" s="8">
        <v>1.89</v>
      </c>
      <c r="E39" s="12">
        <v>25</v>
      </c>
      <c r="F39" s="8">
        <v>2.58</v>
      </c>
      <c r="G39" s="12">
        <v>8</v>
      </c>
      <c r="H39" s="8">
        <v>1.06</v>
      </c>
      <c r="I39" s="12">
        <v>0</v>
      </c>
    </row>
    <row r="40" spans="2:9" ht="15" customHeight="1" x14ac:dyDescent="0.2">
      <c r="B40" t="s">
        <v>113</v>
      </c>
      <c r="C40" s="12">
        <v>29</v>
      </c>
      <c r="D40" s="8">
        <v>1.66</v>
      </c>
      <c r="E40" s="12">
        <v>11</v>
      </c>
      <c r="F40" s="8">
        <v>1.1299999999999999</v>
      </c>
      <c r="G40" s="12">
        <v>17</v>
      </c>
      <c r="H40" s="8">
        <v>2.25</v>
      </c>
      <c r="I40" s="12">
        <v>0</v>
      </c>
    </row>
    <row r="41" spans="2:9" ht="15" customHeight="1" x14ac:dyDescent="0.2">
      <c r="B41" t="s">
        <v>107</v>
      </c>
      <c r="C41" s="12">
        <v>24</v>
      </c>
      <c r="D41" s="8">
        <v>1.37</v>
      </c>
      <c r="E41" s="12">
        <v>0</v>
      </c>
      <c r="F41" s="8">
        <v>0</v>
      </c>
      <c r="G41" s="12">
        <v>24</v>
      </c>
      <c r="H41" s="8">
        <v>3.17</v>
      </c>
      <c r="I41" s="12">
        <v>0</v>
      </c>
    </row>
    <row r="42" spans="2:9" ht="15" customHeight="1" x14ac:dyDescent="0.2">
      <c r="B42" t="s">
        <v>130</v>
      </c>
      <c r="C42" s="12">
        <v>20</v>
      </c>
      <c r="D42" s="8">
        <v>1.1399999999999999</v>
      </c>
      <c r="E42" s="12">
        <v>14</v>
      </c>
      <c r="F42" s="8">
        <v>1.44</v>
      </c>
      <c r="G42" s="12">
        <v>6</v>
      </c>
      <c r="H42" s="8">
        <v>0.79</v>
      </c>
      <c r="I42" s="12">
        <v>0</v>
      </c>
    </row>
    <row r="43" spans="2:9" ht="15" customHeight="1" x14ac:dyDescent="0.2">
      <c r="B43" t="s">
        <v>129</v>
      </c>
      <c r="C43" s="12">
        <v>19</v>
      </c>
      <c r="D43" s="8">
        <v>1.0900000000000001</v>
      </c>
      <c r="E43" s="12">
        <v>11</v>
      </c>
      <c r="F43" s="8">
        <v>1.1299999999999999</v>
      </c>
      <c r="G43" s="12">
        <v>8</v>
      </c>
      <c r="H43" s="8">
        <v>1.06</v>
      </c>
      <c r="I43" s="12">
        <v>0</v>
      </c>
    </row>
    <row r="44" spans="2:9" ht="15" customHeight="1" x14ac:dyDescent="0.2">
      <c r="B44" t="s">
        <v>100</v>
      </c>
      <c r="C44" s="12">
        <v>19</v>
      </c>
      <c r="D44" s="8">
        <v>1.0900000000000001</v>
      </c>
      <c r="E44" s="12">
        <v>10</v>
      </c>
      <c r="F44" s="8">
        <v>1.03</v>
      </c>
      <c r="G44" s="12">
        <v>9</v>
      </c>
      <c r="H44" s="8">
        <v>1.19</v>
      </c>
      <c r="I44" s="12">
        <v>0</v>
      </c>
    </row>
    <row r="47" spans="2:9" ht="33" customHeight="1" x14ac:dyDescent="0.2">
      <c r="B47" t="s">
        <v>271</v>
      </c>
      <c r="C47" s="10" t="s">
        <v>90</v>
      </c>
      <c r="D47" s="10" t="s">
        <v>91</v>
      </c>
      <c r="E47" s="10" t="s">
        <v>92</v>
      </c>
      <c r="F47" s="10" t="s">
        <v>93</v>
      </c>
      <c r="G47" s="10" t="s">
        <v>94</v>
      </c>
      <c r="H47" s="10" t="s">
        <v>95</v>
      </c>
      <c r="I47" s="10" t="s">
        <v>96</v>
      </c>
    </row>
    <row r="48" spans="2:9" ht="15" customHeight="1" x14ac:dyDescent="0.2">
      <c r="B48" t="s">
        <v>173</v>
      </c>
      <c r="C48" s="12">
        <v>87</v>
      </c>
      <c r="D48" s="8">
        <v>4.9800000000000004</v>
      </c>
      <c r="E48" s="12">
        <v>81</v>
      </c>
      <c r="F48" s="8">
        <v>8.35</v>
      </c>
      <c r="G48" s="12">
        <v>6</v>
      </c>
      <c r="H48" s="8">
        <v>0.79</v>
      </c>
      <c r="I48" s="12">
        <v>0</v>
      </c>
    </row>
    <row r="49" spans="2:9" ht="15" customHeight="1" x14ac:dyDescent="0.2">
      <c r="B49" t="s">
        <v>167</v>
      </c>
      <c r="C49" s="12">
        <v>60</v>
      </c>
      <c r="D49" s="8">
        <v>3.43</v>
      </c>
      <c r="E49" s="12">
        <v>39</v>
      </c>
      <c r="F49" s="8">
        <v>4.0199999999999996</v>
      </c>
      <c r="G49" s="12">
        <v>21</v>
      </c>
      <c r="H49" s="8">
        <v>2.77</v>
      </c>
      <c r="I49" s="12">
        <v>0</v>
      </c>
    </row>
    <row r="50" spans="2:9" ht="15" customHeight="1" x14ac:dyDescent="0.2">
      <c r="B50" t="s">
        <v>172</v>
      </c>
      <c r="C50" s="12">
        <v>48</v>
      </c>
      <c r="D50" s="8">
        <v>2.75</v>
      </c>
      <c r="E50" s="12">
        <v>46</v>
      </c>
      <c r="F50" s="8">
        <v>4.74</v>
      </c>
      <c r="G50" s="12">
        <v>2</v>
      </c>
      <c r="H50" s="8">
        <v>0.26</v>
      </c>
      <c r="I50" s="12">
        <v>0</v>
      </c>
    </row>
    <row r="51" spans="2:9" ht="15" customHeight="1" x14ac:dyDescent="0.2">
      <c r="B51" t="s">
        <v>174</v>
      </c>
      <c r="C51" s="12">
        <v>48</v>
      </c>
      <c r="D51" s="8">
        <v>2.75</v>
      </c>
      <c r="E51" s="12">
        <v>40</v>
      </c>
      <c r="F51" s="8">
        <v>4.12</v>
      </c>
      <c r="G51" s="12">
        <v>7</v>
      </c>
      <c r="H51" s="8">
        <v>0.92</v>
      </c>
      <c r="I51" s="12">
        <v>1</v>
      </c>
    </row>
    <row r="52" spans="2:9" ht="15" customHeight="1" x14ac:dyDescent="0.2">
      <c r="B52" t="s">
        <v>170</v>
      </c>
      <c r="C52" s="12">
        <v>45</v>
      </c>
      <c r="D52" s="8">
        <v>2.58</v>
      </c>
      <c r="E52" s="12">
        <v>43</v>
      </c>
      <c r="F52" s="8">
        <v>4.43</v>
      </c>
      <c r="G52" s="12">
        <v>2</v>
      </c>
      <c r="H52" s="8">
        <v>0.26</v>
      </c>
      <c r="I52" s="12">
        <v>0</v>
      </c>
    </row>
    <row r="53" spans="2:9" ht="15" customHeight="1" x14ac:dyDescent="0.2">
      <c r="B53" t="s">
        <v>175</v>
      </c>
      <c r="C53" s="12">
        <v>43</v>
      </c>
      <c r="D53" s="8">
        <v>2.46</v>
      </c>
      <c r="E53" s="12">
        <v>39</v>
      </c>
      <c r="F53" s="8">
        <v>4.0199999999999996</v>
      </c>
      <c r="G53" s="12">
        <v>4</v>
      </c>
      <c r="H53" s="8">
        <v>0.53</v>
      </c>
      <c r="I53" s="12">
        <v>0</v>
      </c>
    </row>
    <row r="54" spans="2:9" ht="15" customHeight="1" x14ac:dyDescent="0.2">
      <c r="B54" t="s">
        <v>159</v>
      </c>
      <c r="C54" s="12">
        <v>41</v>
      </c>
      <c r="D54" s="8">
        <v>2.35</v>
      </c>
      <c r="E54" s="12">
        <v>29</v>
      </c>
      <c r="F54" s="8">
        <v>2.99</v>
      </c>
      <c r="G54" s="12">
        <v>12</v>
      </c>
      <c r="H54" s="8">
        <v>1.59</v>
      </c>
      <c r="I54" s="12">
        <v>0</v>
      </c>
    </row>
    <row r="55" spans="2:9" ht="15" customHeight="1" x14ac:dyDescent="0.2">
      <c r="B55" t="s">
        <v>169</v>
      </c>
      <c r="C55" s="12">
        <v>41</v>
      </c>
      <c r="D55" s="8">
        <v>2.35</v>
      </c>
      <c r="E55" s="12">
        <v>32</v>
      </c>
      <c r="F55" s="8">
        <v>3.3</v>
      </c>
      <c r="G55" s="12">
        <v>9</v>
      </c>
      <c r="H55" s="8">
        <v>1.19</v>
      </c>
      <c r="I55" s="12">
        <v>0</v>
      </c>
    </row>
    <row r="56" spans="2:9" ht="15" customHeight="1" x14ac:dyDescent="0.2">
      <c r="B56" t="s">
        <v>192</v>
      </c>
      <c r="C56" s="12">
        <v>39</v>
      </c>
      <c r="D56" s="8">
        <v>2.23</v>
      </c>
      <c r="E56" s="12">
        <v>34</v>
      </c>
      <c r="F56" s="8">
        <v>3.51</v>
      </c>
      <c r="G56" s="12">
        <v>5</v>
      </c>
      <c r="H56" s="8">
        <v>0.66</v>
      </c>
      <c r="I56" s="12">
        <v>0</v>
      </c>
    </row>
    <row r="57" spans="2:9" ht="15" customHeight="1" x14ac:dyDescent="0.2">
      <c r="B57" t="s">
        <v>162</v>
      </c>
      <c r="C57" s="12">
        <v>38</v>
      </c>
      <c r="D57" s="8">
        <v>2.1800000000000002</v>
      </c>
      <c r="E57" s="12">
        <v>30</v>
      </c>
      <c r="F57" s="8">
        <v>3.09</v>
      </c>
      <c r="G57" s="12">
        <v>8</v>
      </c>
      <c r="H57" s="8">
        <v>1.06</v>
      </c>
      <c r="I57" s="12">
        <v>0</v>
      </c>
    </row>
    <row r="58" spans="2:9" ht="15" customHeight="1" x14ac:dyDescent="0.2">
      <c r="B58" t="s">
        <v>164</v>
      </c>
      <c r="C58" s="12">
        <v>36</v>
      </c>
      <c r="D58" s="8">
        <v>2.06</v>
      </c>
      <c r="E58" s="12">
        <v>22</v>
      </c>
      <c r="F58" s="8">
        <v>2.27</v>
      </c>
      <c r="G58" s="12">
        <v>14</v>
      </c>
      <c r="H58" s="8">
        <v>1.85</v>
      </c>
      <c r="I58" s="12">
        <v>0</v>
      </c>
    </row>
    <row r="59" spans="2:9" ht="15" customHeight="1" x14ac:dyDescent="0.2">
      <c r="B59" t="s">
        <v>188</v>
      </c>
      <c r="C59" s="12">
        <v>35</v>
      </c>
      <c r="D59" s="8">
        <v>2</v>
      </c>
      <c r="E59" s="12">
        <v>27</v>
      </c>
      <c r="F59" s="8">
        <v>2.78</v>
      </c>
      <c r="G59" s="12">
        <v>8</v>
      </c>
      <c r="H59" s="8">
        <v>1.06</v>
      </c>
      <c r="I59" s="12">
        <v>0</v>
      </c>
    </row>
    <row r="60" spans="2:9" ht="15" customHeight="1" x14ac:dyDescent="0.2">
      <c r="B60" t="s">
        <v>176</v>
      </c>
      <c r="C60" s="12">
        <v>33</v>
      </c>
      <c r="D60" s="8">
        <v>1.89</v>
      </c>
      <c r="E60" s="12">
        <v>25</v>
      </c>
      <c r="F60" s="8">
        <v>2.58</v>
      </c>
      <c r="G60" s="12">
        <v>8</v>
      </c>
      <c r="H60" s="8">
        <v>1.06</v>
      </c>
      <c r="I60" s="12">
        <v>0</v>
      </c>
    </row>
    <row r="61" spans="2:9" ht="15" customHeight="1" x14ac:dyDescent="0.2">
      <c r="B61" t="s">
        <v>157</v>
      </c>
      <c r="C61" s="12">
        <v>31</v>
      </c>
      <c r="D61" s="8">
        <v>1.77</v>
      </c>
      <c r="E61" s="12">
        <v>5</v>
      </c>
      <c r="F61" s="8">
        <v>0.52</v>
      </c>
      <c r="G61" s="12">
        <v>26</v>
      </c>
      <c r="H61" s="8">
        <v>3.43</v>
      </c>
      <c r="I61" s="12">
        <v>0</v>
      </c>
    </row>
    <row r="62" spans="2:9" ht="15" customHeight="1" x14ac:dyDescent="0.2">
      <c r="B62" t="s">
        <v>160</v>
      </c>
      <c r="C62" s="12">
        <v>30</v>
      </c>
      <c r="D62" s="8">
        <v>1.72</v>
      </c>
      <c r="E62" s="12">
        <v>9</v>
      </c>
      <c r="F62" s="8">
        <v>0.93</v>
      </c>
      <c r="G62" s="12">
        <v>21</v>
      </c>
      <c r="H62" s="8">
        <v>2.77</v>
      </c>
      <c r="I62" s="12">
        <v>0</v>
      </c>
    </row>
    <row r="63" spans="2:9" ht="15" customHeight="1" x14ac:dyDescent="0.2">
      <c r="B63" t="s">
        <v>163</v>
      </c>
      <c r="C63" s="12">
        <v>28</v>
      </c>
      <c r="D63" s="8">
        <v>1.6</v>
      </c>
      <c r="E63" s="12">
        <v>19</v>
      </c>
      <c r="F63" s="8">
        <v>1.96</v>
      </c>
      <c r="G63" s="12">
        <v>9</v>
      </c>
      <c r="H63" s="8">
        <v>1.19</v>
      </c>
      <c r="I63" s="12">
        <v>0</v>
      </c>
    </row>
    <row r="64" spans="2:9" ht="15" customHeight="1" x14ac:dyDescent="0.2">
      <c r="B64" t="s">
        <v>191</v>
      </c>
      <c r="C64" s="12">
        <v>24</v>
      </c>
      <c r="D64" s="8">
        <v>1.37</v>
      </c>
      <c r="E64" s="12">
        <v>22</v>
      </c>
      <c r="F64" s="8">
        <v>2.27</v>
      </c>
      <c r="G64" s="12">
        <v>2</v>
      </c>
      <c r="H64" s="8">
        <v>0.26</v>
      </c>
      <c r="I64" s="12">
        <v>0</v>
      </c>
    </row>
    <row r="65" spans="2:9" ht="15" customHeight="1" x14ac:dyDescent="0.2">
      <c r="B65" t="s">
        <v>178</v>
      </c>
      <c r="C65" s="12">
        <v>23</v>
      </c>
      <c r="D65" s="8">
        <v>1.32</v>
      </c>
      <c r="E65" s="12">
        <v>13</v>
      </c>
      <c r="F65" s="8">
        <v>1.34</v>
      </c>
      <c r="G65" s="12">
        <v>10</v>
      </c>
      <c r="H65" s="8">
        <v>1.32</v>
      </c>
      <c r="I65" s="12">
        <v>0</v>
      </c>
    </row>
    <row r="66" spans="2:9" ht="15" customHeight="1" x14ac:dyDescent="0.2">
      <c r="B66" t="s">
        <v>177</v>
      </c>
      <c r="C66" s="12">
        <v>22</v>
      </c>
      <c r="D66" s="8">
        <v>1.26</v>
      </c>
      <c r="E66" s="12">
        <v>6</v>
      </c>
      <c r="F66" s="8">
        <v>0.62</v>
      </c>
      <c r="G66" s="12">
        <v>16</v>
      </c>
      <c r="H66" s="8">
        <v>2.11</v>
      </c>
      <c r="I66" s="12">
        <v>0</v>
      </c>
    </row>
    <row r="67" spans="2:9" ht="15" customHeight="1" x14ac:dyDescent="0.2">
      <c r="B67" t="s">
        <v>206</v>
      </c>
      <c r="C67" s="12">
        <v>22</v>
      </c>
      <c r="D67" s="8">
        <v>1.26</v>
      </c>
      <c r="E67" s="12">
        <v>17</v>
      </c>
      <c r="F67" s="8">
        <v>1.75</v>
      </c>
      <c r="G67" s="12">
        <v>5</v>
      </c>
      <c r="H67" s="8">
        <v>0.66</v>
      </c>
      <c r="I67" s="12">
        <v>0</v>
      </c>
    </row>
    <row r="69" spans="2:9" ht="15" customHeight="1" x14ac:dyDescent="0.2">
      <c r="B69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F85B5-076F-4418-98B4-DFB6476B6D5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291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401</v>
      </c>
      <c r="D6" s="8">
        <v>18.489999999999998</v>
      </c>
      <c r="E6" s="12">
        <v>164</v>
      </c>
      <c r="F6" s="8">
        <v>14.25</v>
      </c>
      <c r="G6" s="12">
        <v>237</v>
      </c>
      <c r="H6" s="8">
        <v>23.84</v>
      </c>
      <c r="I6" s="12">
        <v>0</v>
      </c>
    </row>
    <row r="7" spans="2:9" ht="15" customHeight="1" x14ac:dyDescent="0.2">
      <c r="B7" t="s">
        <v>76</v>
      </c>
      <c r="C7" s="12">
        <v>256</v>
      </c>
      <c r="D7" s="8">
        <v>11.8</v>
      </c>
      <c r="E7" s="12">
        <v>71</v>
      </c>
      <c r="F7" s="8">
        <v>6.17</v>
      </c>
      <c r="G7" s="12">
        <v>185</v>
      </c>
      <c r="H7" s="8">
        <v>18.61</v>
      </c>
      <c r="I7" s="12">
        <v>0</v>
      </c>
    </row>
    <row r="8" spans="2:9" ht="15" customHeight="1" x14ac:dyDescent="0.2">
      <c r="B8" t="s">
        <v>77</v>
      </c>
      <c r="C8" s="12">
        <v>1</v>
      </c>
      <c r="D8" s="8">
        <v>0.05</v>
      </c>
      <c r="E8" s="12">
        <v>0</v>
      </c>
      <c r="F8" s="8">
        <v>0</v>
      </c>
      <c r="G8" s="12">
        <v>1</v>
      </c>
      <c r="H8" s="8">
        <v>0.1</v>
      </c>
      <c r="I8" s="12">
        <v>0</v>
      </c>
    </row>
    <row r="9" spans="2:9" ht="15" customHeight="1" x14ac:dyDescent="0.2">
      <c r="B9" t="s">
        <v>78</v>
      </c>
      <c r="C9" s="12">
        <v>6</v>
      </c>
      <c r="D9" s="8">
        <v>0.28000000000000003</v>
      </c>
      <c r="E9" s="12">
        <v>0</v>
      </c>
      <c r="F9" s="8">
        <v>0</v>
      </c>
      <c r="G9" s="12">
        <v>6</v>
      </c>
      <c r="H9" s="8">
        <v>0.6</v>
      </c>
      <c r="I9" s="12">
        <v>0</v>
      </c>
    </row>
    <row r="10" spans="2:9" ht="15" customHeight="1" x14ac:dyDescent="0.2">
      <c r="B10" t="s">
        <v>79</v>
      </c>
      <c r="C10" s="12">
        <v>37</v>
      </c>
      <c r="D10" s="8">
        <v>1.71</v>
      </c>
      <c r="E10" s="12">
        <v>1</v>
      </c>
      <c r="F10" s="8">
        <v>0.09</v>
      </c>
      <c r="G10" s="12">
        <v>36</v>
      </c>
      <c r="H10" s="8">
        <v>3.62</v>
      </c>
      <c r="I10" s="12">
        <v>0</v>
      </c>
    </row>
    <row r="11" spans="2:9" ht="15" customHeight="1" x14ac:dyDescent="0.2">
      <c r="B11" t="s">
        <v>80</v>
      </c>
      <c r="C11" s="12">
        <v>496</v>
      </c>
      <c r="D11" s="8">
        <v>22.87</v>
      </c>
      <c r="E11" s="12">
        <v>252</v>
      </c>
      <c r="F11" s="8">
        <v>21.89</v>
      </c>
      <c r="G11" s="12">
        <v>244</v>
      </c>
      <c r="H11" s="8">
        <v>24.55</v>
      </c>
      <c r="I11" s="12">
        <v>0</v>
      </c>
    </row>
    <row r="12" spans="2:9" ht="15" customHeight="1" x14ac:dyDescent="0.2">
      <c r="B12" t="s">
        <v>81</v>
      </c>
      <c r="C12" s="12">
        <v>11</v>
      </c>
      <c r="D12" s="8">
        <v>0.51</v>
      </c>
      <c r="E12" s="12">
        <v>3</v>
      </c>
      <c r="F12" s="8">
        <v>0.26</v>
      </c>
      <c r="G12" s="12">
        <v>8</v>
      </c>
      <c r="H12" s="8">
        <v>0.8</v>
      </c>
      <c r="I12" s="12">
        <v>0</v>
      </c>
    </row>
    <row r="13" spans="2:9" ht="15" customHeight="1" x14ac:dyDescent="0.2">
      <c r="B13" t="s">
        <v>82</v>
      </c>
      <c r="C13" s="12">
        <v>135</v>
      </c>
      <c r="D13" s="8">
        <v>6.22</v>
      </c>
      <c r="E13" s="12">
        <v>59</v>
      </c>
      <c r="F13" s="8">
        <v>5.13</v>
      </c>
      <c r="G13" s="12">
        <v>76</v>
      </c>
      <c r="H13" s="8">
        <v>7.65</v>
      </c>
      <c r="I13" s="12">
        <v>0</v>
      </c>
    </row>
    <row r="14" spans="2:9" ht="15" customHeight="1" x14ac:dyDescent="0.2">
      <c r="B14" t="s">
        <v>83</v>
      </c>
      <c r="C14" s="12">
        <v>80</v>
      </c>
      <c r="D14" s="8">
        <v>3.69</v>
      </c>
      <c r="E14" s="12">
        <v>41</v>
      </c>
      <c r="F14" s="8">
        <v>3.56</v>
      </c>
      <c r="G14" s="12">
        <v>37</v>
      </c>
      <c r="H14" s="8">
        <v>3.72</v>
      </c>
      <c r="I14" s="12">
        <v>0</v>
      </c>
    </row>
    <row r="15" spans="2:9" ht="15" customHeight="1" x14ac:dyDescent="0.2">
      <c r="B15" t="s">
        <v>84</v>
      </c>
      <c r="C15" s="12">
        <v>190</v>
      </c>
      <c r="D15" s="8">
        <v>8.76</v>
      </c>
      <c r="E15" s="12">
        <v>154</v>
      </c>
      <c r="F15" s="8">
        <v>13.38</v>
      </c>
      <c r="G15" s="12">
        <v>36</v>
      </c>
      <c r="H15" s="8">
        <v>3.62</v>
      </c>
      <c r="I15" s="12">
        <v>0</v>
      </c>
    </row>
    <row r="16" spans="2:9" ht="15" customHeight="1" x14ac:dyDescent="0.2">
      <c r="B16" t="s">
        <v>85</v>
      </c>
      <c r="C16" s="12">
        <v>293</v>
      </c>
      <c r="D16" s="8">
        <v>13.51</v>
      </c>
      <c r="E16" s="12">
        <v>245</v>
      </c>
      <c r="F16" s="8">
        <v>21.29</v>
      </c>
      <c r="G16" s="12">
        <v>45</v>
      </c>
      <c r="H16" s="8">
        <v>4.53</v>
      </c>
      <c r="I16" s="12">
        <v>0</v>
      </c>
    </row>
    <row r="17" spans="2:9" ht="15" customHeight="1" x14ac:dyDescent="0.2">
      <c r="B17" t="s">
        <v>86</v>
      </c>
      <c r="C17" s="12">
        <v>85</v>
      </c>
      <c r="D17" s="8">
        <v>3.92</v>
      </c>
      <c r="E17" s="12">
        <v>59</v>
      </c>
      <c r="F17" s="8">
        <v>5.13</v>
      </c>
      <c r="G17" s="12">
        <v>17</v>
      </c>
      <c r="H17" s="8">
        <v>1.71</v>
      </c>
      <c r="I17" s="12">
        <v>0</v>
      </c>
    </row>
    <row r="18" spans="2:9" ht="15" customHeight="1" x14ac:dyDescent="0.2">
      <c r="B18" t="s">
        <v>87</v>
      </c>
      <c r="C18" s="12">
        <v>86</v>
      </c>
      <c r="D18" s="8">
        <v>3.96</v>
      </c>
      <c r="E18" s="12">
        <v>58</v>
      </c>
      <c r="F18" s="8">
        <v>5.04</v>
      </c>
      <c r="G18" s="12">
        <v>23</v>
      </c>
      <c r="H18" s="8">
        <v>2.31</v>
      </c>
      <c r="I18" s="12">
        <v>0</v>
      </c>
    </row>
    <row r="19" spans="2:9" ht="15" customHeight="1" x14ac:dyDescent="0.2">
      <c r="B19" t="s">
        <v>88</v>
      </c>
      <c r="C19" s="12">
        <v>92</v>
      </c>
      <c r="D19" s="8">
        <v>4.24</v>
      </c>
      <c r="E19" s="12">
        <v>44</v>
      </c>
      <c r="F19" s="8">
        <v>3.82</v>
      </c>
      <c r="G19" s="12">
        <v>43</v>
      </c>
      <c r="H19" s="8">
        <v>4.33</v>
      </c>
      <c r="I19" s="12">
        <v>0</v>
      </c>
    </row>
    <row r="20" spans="2:9" ht="15" customHeight="1" x14ac:dyDescent="0.2">
      <c r="B20" s="9" t="s">
        <v>269</v>
      </c>
      <c r="C20" s="12">
        <f>SUM(LTBL_11210[総数／事業所数])</f>
        <v>2169</v>
      </c>
      <c r="E20" s="12">
        <f>SUBTOTAL(109,LTBL_11210[個人／事業所数])</f>
        <v>1151</v>
      </c>
      <c r="G20" s="12">
        <f>SUBTOTAL(109,LTBL_11210[法人／事業所数])</f>
        <v>994</v>
      </c>
      <c r="I20" s="12">
        <f>SUBTOTAL(109,LTBL_11210[法人以外の団体／事業所数])</f>
        <v>0</v>
      </c>
    </row>
    <row r="21" spans="2:9" ht="15" customHeight="1" x14ac:dyDescent="0.2">
      <c r="E21" s="11">
        <f>LTBL_11210[[#Totals],[個人／事業所数]]/LTBL_11210[[#Totals],[総数／事業所数]]</f>
        <v>0.53065928999538958</v>
      </c>
      <c r="G21" s="11">
        <f>LTBL_11210[[#Totals],[法人／事業所数]]/LTBL_11210[[#Totals],[総数／事業所数]]</f>
        <v>0.45827570308898108</v>
      </c>
      <c r="I21" s="11">
        <f>LTBL_11210[[#Totals],[法人以外の団体／事業所数]]/LTBL_11210[[#Totals],[総数／事業所数]]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241</v>
      </c>
      <c r="D24" s="8">
        <v>11.11</v>
      </c>
      <c r="E24" s="12">
        <v>216</v>
      </c>
      <c r="F24" s="8">
        <v>18.77</v>
      </c>
      <c r="G24" s="12">
        <v>25</v>
      </c>
      <c r="H24" s="8">
        <v>2.52</v>
      </c>
      <c r="I24" s="12">
        <v>0</v>
      </c>
    </row>
    <row r="25" spans="2:9" ht="15" customHeight="1" x14ac:dyDescent="0.2">
      <c r="B25" t="s">
        <v>111</v>
      </c>
      <c r="C25" s="12">
        <v>177</v>
      </c>
      <c r="D25" s="8">
        <v>8.16</v>
      </c>
      <c r="E25" s="12">
        <v>150</v>
      </c>
      <c r="F25" s="8">
        <v>13.03</v>
      </c>
      <c r="G25" s="12">
        <v>27</v>
      </c>
      <c r="H25" s="8">
        <v>2.72</v>
      </c>
      <c r="I25" s="12">
        <v>0</v>
      </c>
    </row>
    <row r="26" spans="2:9" ht="15" customHeight="1" x14ac:dyDescent="0.2">
      <c r="B26" t="s">
        <v>97</v>
      </c>
      <c r="C26" s="12">
        <v>153</v>
      </c>
      <c r="D26" s="8">
        <v>7.05</v>
      </c>
      <c r="E26" s="12">
        <v>64</v>
      </c>
      <c r="F26" s="8">
        <v>5.56</v>
      </c>
      <c r="G26" s="12">
        <v>89</v>
      </c>
      <c r="H26" s="8">
        <v>8.9499999999999993</v>
      </c>
      <c r="I26" s="12">
        <v>0</v>
      </c>
    </row>
    <row r="27" spans="2:9" ht="15" customHeight="1" x14ac:dyDescent="0.2">
      <c r="B27" t="s">
        <v>106</v>
      </c>
      <c r="C27" s="12">
        <v>142</v>
      </c>
      <c r="D27" s="8">
        <v>6.55</v>
      </c>
      <c r="E27" s="12">
        <v>76</v>
      </c>
      <c r="F27" s="8">
        <v>6.6</v>
      </c>
      <c r="G27" s="12">
        <v>66</v>
      </c>
      <c r="H27" s="8">
        <v>6.64</v>
      </c>
      <c r="I27" s="12">
        <v>0</v>
      </c>
    </row>
    <row r="28" spans="2:9" ht="15" customHeight="1" x14ac:dyDescent="0.2">
      <c r="B28" t="s">
        <v>98</v>
      </c>
      <c r="C28" s="12">
        <v>140</v>
      </c>
      <c r="D28" s="8">
        <v>6.45</v>
      </c>
      <c r="E28" s="12">
        <v>72</v>
      </c>
      <c r="F28" s="8">
        <v>6.26</v>
      </c>
      <c r="G28" s="12">
        <v>68</v>
      </c>
      <c r="H28" s="8">
        <v>6.84</v>
      </c>
      <c r="I28" s="12">
        <v>0</v>
      </c>
    </row>
    <row r="29" spans="2:9" ht="15" customHeight="1" x14ac:dyDescent="0.2">
      <c r="B29" t="s">
        <v>99</v>
      </c>
      <c r="C29" s="12">
        <v>108</v>
      </c>
      <c r="D29" s="8">
        <v>4.9800000000000004</v>
      </c>
      <c r="E29" s="12">
        <v>28</v>
      </c>
      <c r="F29" s="8">
        <v>2.4300000000000002</v>
      </c>
      <c r="G29" s="12">
        <v>80</v>
      </c>
      <c r="H29" s="8">
        <v>8.0500000000000007</v>
      </c>
      <c r="I29" s="12">
        <v>0</v>
      </c>
    </row>
    <row r="30" spans="2:9" ht="15" customHeight="1" x14ac:dyDescent="0.2">
      <c r="B30" t="s">
        <v>104</v>
      </c>
      <c r="C30" s="12">
        <v>107</v>
      </c>
      <c r="D30" s="8">
        <v>4.93</v>
      </c>
      <c r="E30" s="12">
        <v>79</v>
      </c>
      <c r="F30" s="8">
        <v>6.86</v>
      </c>
      <c r="G30" s="12">
        <v>28</v>
      </c>
      <c r="H30" s="8">
        <v>2.82</v>
      </c>
      <c r="I30" s="12">
        <v>0</v>
      </c>
    </row>
    <row r="31" spans="2:9" ht="15" customHeight="1" x14ac:dyDescent="0.2">
      <c r="B31" t="s">
        <v>108</v>
      </c>
      <c r="C31" s="12">
        <v>102</v>
      </c>
      <c r="D31" s="8">
        <v>4.7</v>
      </c>
      <c r="E31" s="12">
        <v>55</v>
      </c>
      <c r="F31" s="8">
        <v>4.78</v>
      </c>
      <c r="G31" s="12">
        <v>47</v>
      </c>
      <c r="H31" s="8">
        <v>4.7300000000000004</v>
      </c>
      <c r="I31" s="12">
        <v>0</v>
      </c>
    </row>
    <row r="32" spans="2:9" ht="15" customHeight="1" x14ac:dyDescent="0.2">
      <c r="B32" t="s">
        <v>114</v>
      </c>
      <c r="C32" s="12">
        <v>85</v>
      </c>
      <c r="D32" s="8">
        <v>3.92</v>
      </c>
      <c r="E32" s="12">
        <v>59</v>
      </c>
      <c r="F32" s="8">
        <v>5.13</v>
      </c>
      <c r="G32" s="12">
        <v>17</v>
      </c>
      <c r="H32" s="8">
        <v>1.71</v>
      </c>
      <c r="I32" s="12">
        <v>0</v>
      </c>
    </row>
    <row r="33" spans="2:9" ht="15" customHeight="1" x14ac:dyDescent="0.2">
      <c r="B33" t="s">
        <v>105</v>
      </c>
      <c r="C33" s="12">
        <v>69</v>
      </c>
      <c r="D33" s="8">
        <v>3.18</v>
      </c>
      <c r="E33" s="12">
        <v>43</v>
      </c>
      <c r="F33" s="8">
        <v>3.74</v>
      </c>
      <c r="G33" s="12">
        <v>26</v>
      </c>
      <c r="H33" s="8">
        <v>2.62</v>
      </c>
      <c r="I33" s="12">
        <v>0</v>
      </c>
    </row>
    <row r="34" spans="2:9" ht="15" customHeight="1" x14ac:dyDescent="0.2">
      <c r="B34" t="s">
        <v>115</v>
      </c>
      <c r="C34" s="12">
        <v>62</v>
      </c>
      <c r="D34" s="8">
        <v>2.86</v>
      </c>
      <c r="E34" s="12">
        <v>58</v>
      </c>
      <c r="F34" s="8">
        <v>5.04</v>
      </c>
      <c r="G34" s="12">
        <v>4</v>
      </c>
      <c r="H34" s="8">
        <v>0.4</v>
      </c>
      <c r="I34" s="12">
        <v>0</v>
      </c>
    </row>
    <row r="35" spans="2:9" ht="15" customHeight="1" x14ac:dyDescent="0.2">
      <c r="B35" t="s">
        <v>116</v>
      </c>
      <c r="C35" s="12">
        <v>46</v>
      </c>
      <c r="D35" s="8">
        <v>2.12</v>
      </c>
      <c r="E35" s="12">
        <v>36</v>
      </c>
      <c r="F35" s="8">
        <v>3.13</v>
      </c>
      <c r="G35" s="12">
        <v>10</v>
      </c>
      <c r="H35" s="8">
        <v>1.01</v>
      </c>
      <c r="I35" s="12">
        <v>0</v>
      </c>
    </row>
    <row r="36" spans="2:9" ht="15" customHeight="1" x14ac:dyDescent="0.2">
      <c r="B36" t="s">
        <v>100</v>
      </c>
      <c r="C36" s="12">
        <v>42</v>
      </c>
      <c r="D36" s="8">
        <v>1.94</v>
      </c>
      <c r="E36" s="12">
        <v>8</v>
      </c>
      <c r="F36" s="8">
        <v>0.7</v>
      </c>
      <c r="G36" s="12">
        <v>34</v>
      </c>
      <c r="H36" s="8">
        <v>3.42</v>
      </c>
      <c r="I36" s="12">
        <v>0</v>
      </c>
    </row>
    <row r="37" spans="2:9" ht="15" customHeight="1" x14ac:dyDescent="0.2">
      <c r="B37" t="s">
        <v>109</v>
      </c>
      <c r="C37" s="12">
        <v>41</v>
      </c>
      <c r="D37" s="8">
        <v>1.89</v>
      </c>
      <c r="E37" s="12">
        <v>25</v>
      </c>
      <c r="F37" s="8">
        <v>2.17</v>
      </c>
      <c r="G37" s="12">
        <v>16</v>
      </c>
      <c r="H37" s="8">
        <v>1.61</v>
      </c>
      <c r="I37" s="12">
        <v>0</v>
      </c>
    </row>
    <row r="38" spans="2:9" ht="15" customHeight="1" x14ac:dyDescent="0.2">
      <c r="B38" t="s">
        <v>103</v>
      </c>
      <c r="C38" s="12">
        <v>38</v>
      </c>
      <c r="D38" s="8">
        <v>1.75</v>
      </c>
      <c r="E38" s="12">
        <v>17</v>
      </c>
      <c r="F38" s="8">
        <v>1.48</v>
      </c>
      <c r="G38" s="12">
        <v>21</v>
      </c>
      <c r="H38" s="8">
        <v>2.11</v>
      </c>
      <c r="I38" s="12">
        <v>0</v>
      </c>
    </row>
    <row r="39" spans="2:9" ht="15" customHeight="1" x14ac:dyDescent="0.2">
      <c r="B39" t="s">
        <v>113</v>
      </c>
      <c r="C39" s="12">
        <v>38</v>
      </c>
      <c r="D39" s="8">
        <v>1.75</v>
      </c>
      <c r="E39" s="12">
        <v>26</v>
      </c>
      <c r="F39" s="8">
        <v>2.2599999999999998</v>
      </c>
      <c r="G39" s="12">
        <v>12</v>
      </c>
      <c r="H39" s="8">
        <v>1.21</v>
      </c>
      <c r="I39" s="12">
        <v>0</v>
      </c>
    </row>
    <row r="40" spans="2:9" ht="15" customHeight="1" x14ac:dyDescent="0.2">
      <c r="B40" t="s">
        <v>110</v>
      </c>
      <c r="C40" s="12">
        <v>37</v>
      </c>
      <c r="D40" s="8">
        <v>1.71</v>
      </c>
      <c r="E40" s="12">
        <v>16</v>
      </c>
      <c r="F40" s="8">
        <v>1.39</v>
      </c>
      <c r="G40" s="12">
        <v>19</v>
      </c>
      <c r="H40" s="8">
        <v>1.91</v>
      </c>
      <c r="I40" s="12">
        <v>0</v>
      </c>
    </row>
    <row r="41" spans="2:9" ht="15" customHeight="1" x14ac:dyDescent="0.2">
      <c r="B41" t="s">
        <v>101</v>
      </c>
      <c r="C41" s="12">
        <v>36</v>
      </c>
      <c r="D41" s="8">
        <v>1.66</v>
      </c>
      <c r="E41" s="12">
        <v>11</v>
      </c>
      <c r="F41" s="8">
        <v>0.96</v>
      </c>
      <c r="G41" s="12">
        <v>25</v>
      </c>
      <c r="H41" s="8">
        <v>2.52</v>
      </c>
      <c r="I41" s="12">
        <v>0</v>
      </c>
    </row>
    <row r="42" spans="2:9" ht="15" customHeight="1" x14ac:dyDescent="0.2">
      <c r="B42" t="s">
        <v>127</v>
      </c>
      <c r="C42" s="12">
        <v>32</v>
      </c>
      <c r="D42" s="8">
        <v>1.48</v>
      </c>
      <c r="E42" s="12">
        <v>12</v>
      </c>
      <c r="F42" s="8">
        <v>1.04</v>
      </c>
      <c r="G42" s="12">
        <v>20</v>
      </c>
      <c r="H42" s="8">
        <v>2.0099999999999998</v>
      </c>
      <c r="I42" s="12">
        <v>0</v>
      </c>
    </row>
    <row r="43" spans="2:9" ht="15" customHeight="1" x14ac:dyDescent="0.2">
      <c r="B43" t="s">
        <v>117</v>
      </c>
      <c r="C43" s="12">
        <v>32</v>
      </c>
      <c r="D43" s="8">
        <v>1.48</v>
      </c>
      <c r="E43" s="12">
        <v>9</v>
      </c>
      <c r="F43" s="8">
        <v>0.78</v>
      </c>
      <c r="G43" s="12">
        <v>23</v>
      </c>
      <c r="H43" s="8">
        <v>2.31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173</v>
      </c>
      <c r="C47" s="12">
        <v>121</v>
      </c>
      <c r="D47" s="8">
        <v>5.58</v>
      </c>
      <c r="E47" s="12">
        <v>108</v>
      </c>
      <c r="F47" s="8">
        <v>9.3800000000000008</v>
      </c>
      <c r="G47" s="12">
        <v>13</v>
      </c>
      <c r="H47" s="8">
        <v>1.31</v>
      </c>
      <c r="I47" s="12">
        <v>0</v>
      </c>
    </row>
    <row r="48" spans="2:9" ht="15" customHeight="1" x14ac:dyDescent="0.2">
      <c r="B48" t="s">
        <v>172</v>
      </c>
      <c r="C48" s="12">
        <v>82</v>
      </c>
      <c r="D48" s="8">
        <v>3.78</v>
      </c>
      <c r="E48" s="12">
        <v>80</v>
      </c>
      <c r="F48" s="8">
        <v>6.95</v>
      </c>
      <c r="G48" s="12">
        <v>2</v>
      </c>
      <c r="H48" s="8">
        <v>0.2</v>
      </c>
      <c r="I48" s="12">
        <v>0</v>
      </c>
    </row>
    <row r="49" spans="2:9" ht="15" customHeight="1" x14ac:dyDescent="0.2">
      <c r="B49" t="s">
        <v>159</v>
      </c>
      <c r="C49" s="12">
        <v>64</v>
      </c>
      <c r="D49" s="8">
        <v>2.95</v>
      </c>
      <c r="E49" s="12">
        <v>46</v>
      </c>
      <c r="F49" s="8">
        <v>4</v>
      </c>
      <c r="G49" s="12">
        <v>18</v>
      </c>
      <c r="H49" s="8">
        <v>1.81</v>
      </c>
      <c r="I49" s="12">
        <v>0</v>
      </c>
    </row>
    <row r="50" spans="2:9" ht="15" customHeight="1" x14ac:dyDescent="0.2">
      <c r="B50" t="s">
        <v>169</v>
      </c>
      <c r="C50" s="12">
        <v>58</v>
      </c>
      <c r="D50" s="8">
        <v>2.67</v>
      </c>
      <c r="E50" s="12">
        <v>46</v>
      </c>
      <c r="F50" s="8">
        <v>4</v>
      </c>
      <c r="G50" s="12">
        <v>12</v>
      </c>
      <c r="H50" s="8">
        <v>1.21</v>
      </c>
      <c r="I50" s="12">
        <v>0</v>
      </c>
    </row>
    <row r="51" spans="2:9" ht="15" customHeight="1" x14ac:dyDescent="0.2">
      <c r="B51" t="s">
        <v>167</v>
      </c>
      <c r="C51" s="12">
        <v>53</v>
      </c>
      <c r="D51" s="8">
        <v>2.44</v>
      </c>
      <c r="E51" s="12">
        <v>34</v>
      </c>
      <c r="F51" s="8">
        <v>2.95</v>
      </c>
      <c r="G51" s="12">
        <v>19</v>
      </c>
      <c r="H51" s="8">
        <v>1.91</v>
      </c>
      <c r="I51" s="12">
        <v>0</v>
      </c>
    </row>
    <row r="52" spans="2:9" ht="15" customHeight="1" x14ac:dyDescent="0.2">
      <c r="B52" t="s">
        <v>174</v>
      </c>
      <c r="C52" s="12">
        <v>53</v>
      </c>
      <c r="D52" s="8">
        <v>2.44</v>
      </c>
      <c r="E52" s="12">
        <v>47</v>
      </c>
      <c r="F52" s="8">
        <v>4.08</v>
      </c>
      <c r="G52" s="12">
        <v>6</v>
      </c>
      <c r="H52" s="8">
        <v>0.6</v>
      </c>
      <c r="I52" s="12">
        <v>0</v>
      </c>
    </row>
    <row r="53" spans="2:9" ht="15" customHeight="1" x14ac:dyDescent="0.2">
      <c r="B53" t="s">
        <v>161</v>
      </c>
      <c r="C53" s="12">
        <v>49</v>
      </c>
      <c r="D53" s="8">
        <v>2.2599999999999998</v>
      </c>
      <c r="E53" s="12">
        <v>16</v>
      </c>
      <c r="F53" s="8">
        <v>1.39</v>
      </c>
      <c r="G53" s="12">
        <v>33</v>
      </c>
      <c r="H53" s="8">
        <v>3.32</v>
      </c>
      <c r="I53" s="12">
        <v>0</v>
      </c>
    </row>
    <row r="54" spans="2:9" ht="15" customHeight="1" x14ac:dyDescent="0.2">
      <c r="B54" t="s">
        <v>163</v>
      </c>
      <c r="C54" s="12">
        <v>47</v>
      </c>
      <c r="D54" s="8">
        <v>2.17</v>
      </c>
      <c r="E54" s="12">
        <v>24</v>
      </c>
      <c r="F54" s="8">
        <v>2.09</v>
      </c>
      <c r="G54" s="12">
        <v>23</v>
      </c>
      <c r="H54" s="8">
        <v>2.31</v>
      </c>
      <c r="I54" s="12">
        <v>0</v>
      </c>
    </row>
    <row r="55" spans="2:9" ht="15" customHeight="1" x14ac:dyDescent="0.2">
      <c r="B55" t="s">
        <v>176</v>
      </c>
      <c r="C55" s="12">
        <v>46</v>
      </c>
      <c r="D55" s="8">
        <v>2.12</v>
      </c>
      <c r="E55" s="12">
        <v>36</v>
      </c>
      <c r="F55" s="8">
        <v>3.13</v>
      </c>
      <c r="G55" s="12">
        <v>10</v>
      </c>
      <c r="H55" s="8">
        <v>1.01</v>
      </c>
      <c r="I55" s="12">
        <v>0</v>
      </c>
    </row>
    <row r="56" spans="2:9" ht="15" customHeight="1" x14ac:dyDescent="0.2">
      <c r="B56" t="s">
        <v>160</v>
      </c>
      <c r="C56" s="12">
        <v>43</v>
      </c>
      <c r="D56" s="8">
        <v>1.98</v>
      </c>
      <c r="E56" s="12">
        <v>11</v>
      </c>
      <c r="F56" s="8">
        <v>0.96</v>
      </c>
      <c r="G56" s="12">
        <v>32</v>
      </c>
      <c r="H56" s="8">
        <v>3.22</v>
      </c>
      <c r="I56" s="12">
        <v>0</v>
      </c>
    </row>
    <row r="57" spans="2:9" ht="15" customHeight="1" x14ac:dyDescent="0.2">
      <c r="B57" t="s">
        <v>175</v>
      </c>
      <c r="C57" s="12">
        <v>42</v>
      </c>
      <c r="D57" s="8">
        <v>1.94</v>
      </c>
      <c r="E57" s="12">
        <v>41</v>
      </c>
      <c r="F57" s="8">
        <v>3.56</v>
      </c>
      <c r="G57" s="12">
        <v>1</v>
      </c>
      <c r="H57" s="8">
        <v>0.1</v>
      </c>
      <c r="I57" s="12">
        <v>0</v>
      </c>
    </row>
    <row r="58" spans="2:9" ht="15" customHeight="1" x14ac:dyDescent="0.2">
      <c r="B58" t="s">
        <v>170</v>
      </c>
      <c r="C58" s="12">
        <v>40</v>
      </c>
      <c r="D58" s="8">
        <v>1.84</v>
      </c>
      <c r="E58" s="12">
        <v>36</v>
      </c>
      <c r="F58" s="8">
        <v>3.13</v>
      </c>
      <c r="G58" s="12">
        <v>4</v>
      </c>
      <c r="H58" s="8">
        <v>0.4</v>
      </c>
      <c r="I58" s="12">
        <v>0</v>
      </c>
    </row>
    <row r="59" spans="2:9" ht="15" customHeight="1" x14ac:dyDescent="0.2">
      <c r="B59" t="s">
        <v>164</v>
      </c>
      <c r="C59" s="12">
        <v>39</v>
      </c>
      <c r="D59" s="8">
        <v>1.8</v>
      </c>
      <c r="E59" s="12">
        <v>21</v>
      </c>
      <c r="F59" s="8">
        <v>1.82</v>
      </c>
      <c r="G59" s="12">
        <v>18</v>
      </c>
      <c r="H59" s="8">
        <v>1.81</v>
      </c>
      <c r="I59" s="12">
        <v>0</v>
      </c>
    </row>
    <row r="60" spans="2:9" ht="15" customHeight="1" x14ac:dyDescent="0.2">
      <c r="B60" t="s">
        <v>188</v>
      </c>
      <c r="C60" s="12">
        <v>33</v>
      </c>
      <c r="D60" s="8">
        <v>1.52</v>
      </c>
      <c r="E60" s="12">
        <v>24</v>
      </c>
      <c r="F60" s="8">
        <v>2.09</v>
      </c>
      <c r="G60" s="12">
        <v>9</v>
      </c>
      <c r="H60" s="8">
        <v>0.91</v>
      </c>
      <c r="I60" s="12">
        <v>0</v>
      </c>
    </row>
    <row r="61" spans="2:9" ht="15" customHeight="1" x14ac:dyDescent="0.2">
      <c r="B61" t="s">
        <v>157</v>
      </c>
      <c r="C61" s="12">
        <v>31</v>
      </c>
      <c r="D61" s="8">
        <v>1.43</v>
      </c>
      <c r="E61" s="12">
        <v>3</v>
      </c>
      <c r="F61" s="8">
        <v>0.26</v>
      </c>
      <c r="G61" s="12">
        <v>28</v>
      </c>
      <c r="H61" s="8">
        <v>2.82</v>
      </c>
      <c r="I61" s="12">
        <v>0</v>
      </c>
    </row>
    <row r="62" spans="2:9" ht="15" customHeight="1" x14ac:dyDescent="0.2">
      <c r="B62" t="s">
        <v>180</v>
      </c>
      <c r="C62" s="12">
        <v>31</v>
      </c>
      <c r="D62" s="8">
        <v>1.43</v>
      </c>
      <c r="E62" s="12">
        <v>12</v>
      </c>
      <c r="F62" s="8">
        <v>1.04</v>
      </c>
      <c r="G62" s="12">
        <v>19</v>
      </c>
      <c r="H62" s="8">
        <v>1.91</v>
      </c>
      <c r="I62" s="12">
        <v>0</v>
      </c>
    </row>
    <row r="63" spans="2:9" ht="15" customHeight="1" x14ac:dyDescent="0.2">
      <c r="B63" t="s">
        <v>162</v>
      </c>
      <c r="C63" s="12">
        <v>31</v>
      </c>
      <c r="D63" s="8">
        <v>1.43</v>
      </c>
      <c r="E63" s="12">
        <v>22</v>
      </c>
      <c r="F63" s="8">
        <v>1.91</v>
      </c>
      <c r="G63" s="12">
        <v>9</v>
      </c>
      <c r="H63" s="8">
        <v>0.91</v>
      </c>
      <c r="I63" s="12">
        <v>0</v>
      </c>
    </row>
    <row r="64" spans="2:9" ht="15" customHeight="1" x14ac:dyDescent="0.2">
      <c r="B64" t="s">
        <v>206</v>
      </c>
      <c r="C64" s="12">
        <v>31</v>
      </c>
      <c r="D64" s="8">
        <v>1.43</v>
      </c>
      <c r="E64" s="12">
        <v>25</v>
      </c>
      <c r="F64" s="8">
        <v>2.17</v>
      </c>
      <c r="G64" s="12">
        <v>6</v>
      </c>
      <c r="H64" s="8">
        <v>0.6</v>
      </c>
      <c r="I64" s="12">
        <v>0</v>
      </c>
    </row>
    <row r="65" spans="2:9" ht="15" customHeight="1" x14ac:dyDescent="0.2">
      <c r="B65" t="s">
        <v>166</v>
      </c>
      <c r="C65" s="12">
        <v>28</v>
      </c>
      <c r="D65" s="8">
        <v>1.29</v>
      </c>
      <c r="E65" s="12">
        <v>7</v>
      </c>
      <c r="F65" s="8">
        <v>0.61</v>
      </c>
      <c r="G65" s="12">
        <v>21</v>
      </c>
      <c r="H65" s="8">
        <v>2.11</v>
      </c>
      <c r="I65" s="12">
        <v>0</v>
      </c>
    </row>
    <row r="66" spans="2:9" ht="15" customHeight="1" x14ac:dyDescent="0.2">
      <c r="B66" t="s">
        <v>171</v>
      </c>
      <c r="C66" s="12">
        <v>28</v>
      </c>
      <c r="D66" s="8">
        <v>1.29</v>
      </c>
      <c r="E66" s="12">
        <v>21</v>
      </c>
      <c r="F66" s="8">
        <v>1.82</v>
      </c>
      <c r="G66" s="12">
        <v>7</v>
      </c>
      <c r="H66" s="8">
        <v>0.7</v>
      </c>
      <c r="I66" s="12">
        <v>0</v>
      </c>
    </row>
    <row r="68" spans="2:9" ht="15" customHeight="1" x14ac:dyDescent="0.2">
      <c r="B68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1D2AD-05DE-466C-A93E-A63FEB4FFB1F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292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2</v>
      </c>
      <c r="D5" s="8">
        <v>0.11</v>
      </c>
      <c r="E5" s="12">
        <v>0</v>
      </c>
      <c r="F5" s="8">
        <v>0</v>
      </c>
      <c r="G5" s="12">
        <v>2</v>
      </c>
      <c r="H5" s="8">
        <v>0.25</v>
      </c>
      <c r="I5" s="12">
        <v>0</v>
      </c>
    </row>
    <row r="6" spans="2:9" ht="15" customHeight="1" x14ac:dyDescent="0.2">
      <c r="B6" t="s">
        <v>75</v>
      </c>
      <c r="C6" s="12">
        <v>240</v>
      </c>
      <c r="D6" s="8">
        <v>12.7</v>
      </c>
      <c r="E6" s="12">
        <v>87</v>
      </c>
      <c r="F6" s="8">
        <v>8.06</v>
      </c>
      <c r="G6" s="12">
        <v>153</v>
      </c>
      <c r="H6" s="8">
        <v>19.32</v>
      </c>
      <c r="I6" s="12">
        <v>0</v>
      </c>
    </row>
    <row r="7" spans="2:9" ht="15" customHeight="1" x14ac:dyDescent="0.2">
      <c r="B7" t="s">
        <v>76</v>
      </c>
      <c r="C7" s="12">
        <v>155</v>
      </c>
      <c r="D7" s="8">
        <v>8.1999999999999993</v>
      </c>
      <c r="E7" s="12">
        <v>63</v>
      </c>
      <c r="F7" s="8">
        <v>5.83</v>
      </c>
      <c r="G7" s="12">
        <v>92</v>
      </c>
      <c r="H7" s="8">
        <v>11.62</v>
      </c>
      <c r="I7" s="12">
        <v>0</v>
      </c>
    </row>
    <row r="8" spans="2:9" ht="15" customHeight="1" x14ac:dyDescent="0.2">
      <c r="B8" t="s">
        <v>77</v>
      </c>
      <c r="C8" s="12">
        <v>6</v>
      </c>
      <c r="D8" s="8">
        <v>0.32</v>
      </c>
      <c r="E8" s="12">
        <v>0</v>
      </c>
      <c r="F8" s="8">
        <v>0</v>
      </c>
      <c r="G8" s="12">
        <v>6</v>
      </c>
      <c r="H8" s="8">
        <v>0.76</v>
      </c>
      <c r="I8" s="12">
        <v>0</v>
      </c>
    </row>
    <row r="9" spans="2:9" ht="15" customHeight="1" x14ac:dyDescent="0.2">
      <c r="B9" t="s">
        <v>78</v>
      </c>
      <c r="C9" s="12">
        <v>5</v>
      </c>
      <c r="D9" s="8">
        <v>0.26</v>
      </c>
      <c r="E9" s="12">
        <v>0</v>
      </c>
      <c r="F9" s="8">
        <v>0</v>
      </c>
      <c r="G9" s="12">
        <v>5</v>
      </c>
      <c r="H9" s="8">
        <v>0.63</v>
      </c>
      <c r="I9" s="12">
        <v>0</v>
      </c>
    </row>
    <row r="10" spans="2:9" ht="15" customHeight="1" x14ac:dyDescent="0.2">
      <c r="B10" t="s">
        <v>79</v>
      </c>
      <c r="C10" s="12">
        <v>10</v>
      </c>
      <c r="D10" s="8">
        <v>0.53</v>
      </c>
      <c r="E10" s="12">
        <v>1</v>
      </c>
      <c r="F10" s="8">
        <v>0.09</v>
      </c>
      <c r="G10" s="12">
        <v>9</v>
      </c>
      <c r="H10" s="8">
        <v>1.1399999999999999</v>
      </c>
      <c r="I10" s="12">
        <v>0</v>
      </c>
    </row>
    <row r="11" spans="2:9" ht="15" customHeight="1" x14ac:dyDescent="0.2">
      <c r="B11" t="s">
        <v>80</v>
      </c>
      <c r="C11" s="12">
        <v>425</v>
      </c>
      <c r="D11" s="8">
        <v>22.49</v>
      </c>
      <c r="E11" s="12">
        <v>227</v>
      </c>
      <c r="F11" s="8">
        <v>21.02</v>
      </c>
      <c r="G11" s="12">
        <v>198</v>
      </c>
      <c r="H11" s="8">
        <v>25</v>
      </c>
      <c r="I11" s="12">
        <v>0</v>
      </c>
    </row>
    <row r="12" spans="2:9" ht="15" customHeight="1" x14ac:dyDescent="0.2">
      <c r="B12" t="s">
        <v>81</v>
      </c>
      <c r="C12" s="12">
        <v>11</v>
      </c>
      <c r="D12" s="8">
        <v>0.57999999999999996</v>
      </c>
      <c r="E12" s="12">
        <v>1</v>
      </c>
      <c r="F12" s="8">
        <v>0.09</v>
      </c>
      <c r="G12" s="12">
        <v>10</v>
      </c>
      <c r="H12" s="8">
        <v>1.26</v>
      </c>
      <c r="I12" s="12">
        <v>0</v>
      </c>
    </row>
    <row r="13" spans="2:9" ht="15" customHeight="1" x14ac:dyDescent="0.2">
      <c r="B13" t="s">
        <v>82</v>
      </c>
      <c r="C13" s="12">
        <v>179</v>
      </c>
      <c r="D13" s="8">
        <v>9.4700000000000006</v>
      </c>
      <c r="E13" s="12">
        <v>75</v>
      </c>
      <c r="F13" s="8">
        <v>6.94</v>
      </c>
      <c r="G13" s="12">
        <v>104</v>
      </c>
      <c r="H13" s="8">
        <v>13.13</v>
      </c>
      <c r="I13" s="12">
        <v>0</v>
      </c>
    </row>
    <row r="14" spans="2:9" ht="15" customHeight="1" x14ac:dyDescent="0.2">
      <c r="B14" t="s">
        <v>83</v>
      </c>
      <c r="C14" s="12">
        <v>101</v>
      </c>
      <c r="D14" s="8">
        <v>5.34</v>
      </c>
      <c r="E14" s="12">
        <v>61</v>
      </c>
      <c r="F14" s="8">
        <v>5.65</v>
      </c>
      <c r="G14" s="12">
        <v>40</v>
      </c>
      <c r="H14" s="8">
        <v>5.05</v>
      </c>
      <c r="I14" s="12">
        <v>0</v>
      </c>
    </row>
    <row r="15" spans="2:9" ht="15" customHeight="1" x14ac:dyDescent="0.2">
      <c r="B15" t="s">
        <v>84</v>
      </c>
      <c r="C15" s="12">
        <v>242</v>
      </c>
      <c r="D15" s="8">
        <v>12.8</v>
      </c>
      <c r="E15" s="12">
        <v>202</v>
      </c>
      <c r="F15" s="8">
        <v>18.7</v>
      </c>
      <c r="G15" s="12">
        <v>39</v>
      </c>
      <c r="H15" s="8">
        <v>4.92</v>
      </c>
      <c r="I15" s="12">
        <v>1</v>
      </c>
    </row>
    <row r="16" spans="2:9" ht="15" customHeight="1" x14ac:dyDescent="0.2">
      <c r="B16" t="s">
        <v>85</v>
      </c>
      <c r="C16" s="12">
        <v>258</v>
      </c>
      <c r="D16" s="8">
        <v>13.65</v>
      </c>
      <c r="E16" s="12">
        <v>205</v>
      </c>
      <c r="F16" s="8">
        <v>18.98</v>
      </c>
      <c r="G16" s="12">
        <v>53</v>
      </c>
      <c r="H16" s="8">
        <v>6.69</v>
      </c>
      <c r="I16" s="12">
        <v>0</v>
      </c>
    </row>
    <row r="17" spans="2:9" ht="15" customHeight="1" x14ac:dyDescent="0.2">
      <c r="B17" t="s">
        <v>86</v>
      </c>
      <c r="C17" s="12">
        <v>83</v>
      </c>
      <c r="D17" s="8">
        <v>4.3899999999999997</v>
      </c>
      <c r="E17" s="12">
        <v>52</v>
      </c>
      <c r="F17" s="8">
        <v>4.8099999999999996</v>
      </c>
      <c r="G17" s="12">
        <v>18</v>
      </c>
      <c r="H17" s="8">
        <v>2.27</v>
      </c>
      <c r="I17" s="12">
        <v>0</v>
      </c>
    </row>
    <row r="18" spans="2:9" ht="15" customHeight="1" x14ac:dyDescent="0.2">
      <c r="B18" t="s">
        <v>87</v>
      </c>
      <c r="C18" s="12">
        <v>109</v>
      </c>
      <c r="D18" s="8">
        <v>5.77</v>
      </c>
      <c r="E18" s="12">
        <v>67</v>
      </c>
      <c r="F18" s="8">
        <v>6.2</v>
      </c>
      <c r="G18" s="12">
        <v>41</v>
      </c>
      <c r="H18" s="8">
        <v>5.18</v>
      </c>
      <c r="I18" s="12">
        <v>0</v>
      </c>
    </row>
    <row r="19" spans="2:9" ht="15" customHeight="1" x14ac:dyDescent="0.2">
      <c r="B19" t="s">
        <v>88</v>
      </c>
      <c r="C19" s="12">
        <v>64</v>
      </c>
      <c r="D19" s="8">
        <v>3.39</v>
      </c>
      <c r="E19" s="12">
        <v>39</v>
      </c>
      <c r="F19" s="8">
        <v>3.61</v>
      </c>
      <c r="G19" s="12">
        <v>22</v>
      </c>
      <c r="H19" s="8">
        <v>2.78</v>
      </c>
      <c r="I19" s="12">
        <v>0</v>
      </c>
    </row>
    <row r="20" spans="2:9" ht="15" customHeight="1" x14ac:dyDescent="0.2">
      <c r="B20" s="9" t="s">
        <v>269</v>
      </c>
      <c r="C20" s="12">
        <f>SUM(LTBL_11211[総数／事業所数])</f>
        <v>1890</v>
      </c>
      <c r="E20" s="12">
        <f>SUBTOTAL(109,LTBL_11211[個人／事業所数])</f>
        <v>1080</v>
      </c>
      <c r="G20" s="12">
        <f>SUBTOTAL(109,LTBL_11211[法人／事業所数])</f>
        <v>792</v>
      </c>
      <c r="I20" s="12">
        <f>SUBTOTAL(109,LTBL_11211[法人以外の団体／事業所数])</f>
        <v>1</v>
      </c>
    </row>
    <row r="21" spans="2:9" ht="15" customHeight="1" x14ac:dyDescent="0.2">
      <c r="E21" s="11">
        <f>LTBL_11211[[#Totals],[個人／事業所数]]/LTBL_11211[[#Totals],[総数／事業所数]]</f>
        <v>0.5714285714285714</v>
      </c>
      <c r="G21" s="11">
        <f>LTBL_11211[[#Totals],[法人／事業所数]]/LTBL_11211[[#Totals],[総数／事業所数]]</f>
        <v>0.41904761904761906</v>
      </c>
      <c r="I21" s="11">
        <f>LTBL_11211[[#Totals],[法人以外の団体／事業所数]]/LTBL_11211[[#Totals],[総数／事業所数]]</f>
        <v>5.2910052910052914E-4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111</v>
      </c>
      <c r="C24" s="12">
        <v>228</v>
      </c>
      <c r="D24" s="8">
        <v>12.06</v>
      </c>
      <c r="E24" s="12">
        <v>198</v>
      </c>
      <c r="F24" s="8">
        <v>18.329999999999998</v>
      </c>
      <c r="G24" s="12">
        <v>29</v>
      </c>
      <c r="H24" s="8">
        <v>3.66</v>
      </c>
      <c r="I24" s="12">
        <v>1</v>
      </c>
    </row>
    <row r="25" spans="2:9" ht="15" customHeight="1" x14ac:dyDescent="0.2">
      <c r="B25" t="s">
        <v>112</v>
      </c>
      <c r="C25" s="12">
        <v>224</v>
      </c>
      <c r="D25" s="8">
        <v>11.85</v>
      </c>
      <c r="E25" s="12">
        <v>193</v>
      </c>
      <c r="F25" s="8">
        <v>17.87</v>
      </c>
      <c r="G25" s="12">
        <v>31</v>
      </c>
      <c r="H25" s="8">
        <v>3.91</v>
      </c>
      <c r="I25" s="12">
        <v>0</v>
      </c>
    </row>
    <row r="26" spans="2:9" ht="15" customHeight="1" x14ac:dyDescent="0.2">
      <c r="B26" t="s">
        <v>106</v>
      </c>
      <c r="C26" s="12">
        <v>146</v>
      </c>
      <c r="D26" s="8">
        <v>7.72</v>
      </c>
      <c r="E26" s="12">
        <v>77</v>
      </c>
      <c r="F26" s="8">
        <v>7.13</v>
      </c>
      <c r="G26" s="12">
        <v>69</v>
      </c>
      <c r="H26" s="8">
        <v>8.7100000000000009</v>
      </c>
      <c r="I26" s="12">
        <v>0</v>
      </c>
    </row>
    <row r="27" spans="2:9" ht="15" customHeight="1" x14ac:dyDescent="0.2">
      <c r="B27" t="s">
        <v>108</v>
      </c>
      <c r="C27" s="12">
        <v>136</v>
      </c>
      <c r="D27" s="8">
        <v>7.2</v>
      </c>
      <c r="E27" s="12">
        <v>62</v>
      </c>
      <c r="F27" s="8">
        <v>5.74</v>
      </c>
      <c r="G27" s="12">
        <v>74</v>
      </c>
      <c r="H27" s="8">
        <v>9.34</v>
      </c>
      <c r="I27" s="12">
        <v>0</v>
      </c>
    </row>
    <row r="28" spans="2:9" ht="15" customHeight="1" x14ac:dyDescent="0.2">
      <c r="B28" t="s">
        <v>104</v>
      </c>
      <c r="C28" s="12">
        <v>96</v>
      </c>
      <c r="D28" s="8">
        <v>5.08</v>
      </c>
      <c r="E28" s="12">
        <v>75</v>
      </c>
      <c r="F28" s="8">
        <v>6.94</v>
      </c>
      <c r="G28" s="12">
        <v>21</v>
      </c>
      <c r="H28" s="8">
        <v>2.65</v>
      </c>
      <c r="I28" s="12">
        <v>0</v>
      </c>
    </row>
    <row r="29" spans="2:9" ht="15" customHeight="1" x14ac:dyDescent="0.2">
      <c r="B29" t="s">
        <v>97</v>
      </c>
      <c r="C29" s="12">
        <v>92</v>
      </c>
      <c r="D29" s="8">
        <v>4.87</v>
      </c>
      <c r="E29" s="12">
        <v>26</v>
      </c>
      <c r="F29" s="8">
        <v>2.41</v>
      </c>
      <c r="G29" s="12">
        <v>66</v>
      </c>
      <c r="H29" s="8">
        <v>8.33</v>
      </c>
      <c r="I29" s="12">
        <v>0</v>
      </c>
    </row>
    <row r="30" spans="2:9" ht="15" customHeight="1" x14ac:dyDescent="0.2">
      <c r="B30" t="s">
        <v>98</v>
      </c>
      <c r="C30" s="12">
        <v>83</v>
      </c>
      <c r="D30" s="8">
        <v>4.3899999999999997</v>
      </c>
      <c r="E30" s="12">
        <v>43</v>
      </c>
      <c r="F30" s="8">
        <v>3.98</v>
      </c>
      <c r="G30" s="12">
        <v>40</v>
      </c>
      <c r="H30" s="8">
        <v>5.05</v>
      </c>
      <c r="I30" s="12">
        <v>0</v>
      </c>
    </row>
    <row r="31" spans="2:9" ht="15" customHeight="1" x14ac:dyDescent="0.2">
      <c r="B31" t="s">
        <v>114</v>
      </c>
      <c r="C31" s="12">
        <v>83</v>
      </c>
      <c r="D31" s="8">
        <v>4.3899999999999997</v>
      </c>
      <c r="E31" s="12">
        <v>52</v>
      </c>
      <c r="F31" s="8">
        <v>4.8099999999999996</v>
      </c>
      <c r="G31" s="12">
        <v>18</v>
      </c>
      <c r="H31" s="8">
        <v>2.27</v>
      </c>
      <c r="I31" s="12">
        <v>0</v>
      </c>
    </row>
    <row r="32" spans="2:9" ht="15" customHeight="1" x14ac:dyDescent="0.2">
      <c r="B32" t="s">
        <v>115</v>
      </c>
      <c r="C32" s="12">
        <v>73</v>
      </c>
      <c r="D32" s="8">
        <v>3.86</v>
      </c>
      <c r="E32" s="12">
        <v>64</v>
      </c>
      <c r="F32" s="8">
        <v>5.93</v>
      </c>
      <c r="G32" s="12">
        <v>9</v>
      </c>
      <c r="H32" s="8">
        <v>1.1399999999999999</v>
      </c>
      <c r="I32" s="12">
        <v>0</v>
      </c>
    </row>
    <row r="33" spans="2:9" ht="15" customHeight="1" x14ac:dyDescent="0.2">
      <c r="B33" t="s">
        <v>99</v>
      </c>
      <c r="C33" s="12">
        <v>65</v>
      </c>
      <c r="D33" s="8">
        <v>3.44</v>
      </c>
      <c r="E33" s="12">
        <v>18</v>
      </c>
      <c r="F33" s="8">
        <v>1.67</v>
      </c>
      <c r="G33" s="12">
        <v>47</v>
      </c>
      <c r="H33" s="8">
        <v>5.93</v>
      </c>
      <c r="I33" s="12">
        <v>0</v>
      </c>
    </row>
    <row r="34" spans="2:9" ht="15" customHeight="1" x14ac:dyDescent="0.2">
      <c r="B34" t="s">
        <v>109</v>
      </c>
      <c r="C34" s="12">
        <v>60</v>
      </c>
      <c r="D34" s="8">
        <v>3.17</v>
      </c>
      <c r="E34" s="12">
        <v>44</v>
      </c>
      <c r="F34" s="8">
        <v>4.07</v>
      </c>
      <c r="G34" s="12">
        <v>16</v>
      </c>
      <c r="H34" s="8">
        <v>2.02</v>
      </c>
      <c r="I34" s="12">
        <v>0</v>
      </c>
    </row>
    <row r="35" spans="2:9" ht="15" customHeight="1" x14ac:dyDescent="0.2">
      <c r="B35" t="s">
        <v>105</v>
      </c>
      <c r="C35" s="12">
        <v>57</v>
      </c>
      <c r="D35" s="8">
        <v>3.02</v>
      </c>
      <c r="E35" s="12">
        <v>35</v>
      </c>
      <c r="F35" s="8">
        <v>3.24</v>
      </c>
      <c r="G35" s="12">
        <v>22</v>
      </c>
      <c r="H35" s="8">
        <v>2.78</v>
      </c>
      <c r="I35" s="12">
        <v>0</v>
      </c>
    </row>
    <row r="36" spans="2:9" ht="15" customHeight="1" x14ac:dyDescent="0.2">
      <c r="B36" t="s">
        <v>103</v>
      </c>
      <c r="C36" s="12">
        <v>41</v>
      </c>
      <c r="D36" s="8">
        <v>2.17</v>
      </c>
      <c r="E36" s="12">
        <v>21</v>
      </c>
      <c r="F36" s="8">
        <v>1.94</v>
      </c>
      <c r="G36" s="12">
        <v>20</v>
      </c>
      <c r="H36" s="8">
        <v>2.5299999999999998</v>
      </c>
      <c r="I36" s="12">
        <v>0</v>
      </c>
    </row>
    <row r="37" spans="2:9" ht="15" customHeight="1" x14ac:dyDescent="0.2">
      <c r="B37" t="s">
        <v>116</v>
      </c>
      <c r="C37" s="12">
        <v>39</v>
      </c>
      <c r="D37" s="8">
        <v>2.06</v>
      </c>
      <c r="E37" s="12">
        <v>30</v>
      </c>
      <c r="F37" s="8">
        <v>2.78</v>
      </c>
      <c r="G37" s="12">
        <v>9</v>
      </c>
      <c r="H37" s="8">
        <v>1.1399999999999999</v>
      </c>
      <c r="I37" s="12">
        <v>0</v>
      </c>
    </row>
    <row r="38" spans="2:9" ht="15" customHeight="1" x14ac:dyDescent="0.2">
      <c r="B38" t="s">
        <v>110</v>
      </c>
      <c r="C38" s="12">
        <v>36</v>
      </c>
      <c r="D38" s="8">
        <v>1.9</v>
      </c>
      <c r="E38" s="12">
        <v>17</v>
      </c>
      <c r="F38" s="8">
        <v>1.57</v>
      </c>
      <c r="G38" s="12">
        <v>19</v>
      </c>
      <c r="H38" s="8">
        <v>2.4</v>
      </c>
      <c r="I38" s="12">
        <v>0</v>
      </c>
    </row>
    <row r="39" spans="2:9" ht="15" customHeight="1" x14ac:dyDescent="0.2">
      <c r="B39" t="s">
        <v>118</v>
      </c>
      <c r="C39" s="12">
        <v>36</v>
      </c>
      <c r="D39" s="8">
        <v>1.9</v>
      </c>
      <c r="E39" s="12">
        <v>3</v>
      </c>
      <c r="F39" s="8">
        <v>0.28000000000000003</v>
      </c>
      <c r="G39" s="12">
        <v>32</v>
      </c>
      <c r="H39" s="8">
        <v>4.04</v>
      </c>
      <c r="I39" s="12">
        <v>0</v>
      </c>
    </row>
    <row r="40" spans="2:9" ht="15" customHeight="1" x14ac:dyDescent="0.2">
      <c r="B40" t="s">
        <v>101</v>
      </c>
      <c r="C40" s="12">
        <v>29</v>
      </c>
      <c r="D40" s="8">
        <v>1.53</v>
      </c>
      <c r="E40" s="12">
        <v>8</v>
      </c>
      <c r="F40" s="8">
        <v>0.74</v>
      </c>
      <c r="G40" s="12">
        <v>21</v>
      </c>
      <c r="H40" s="8">
        <v>2.65</v>
      </c>
      <c r="I40" s="12">
        <v>0</v>
      </c>
    </row>
    <row r="41" spans="2:9" ht="15" customHeight="1" x14ac:dyDescent="0.2">
      <c r="B41" t="s">
        <v>107</v>
      </c>
      <c r="C41" s="12">
        <v>29</v>
      </c>
      <c r="D41" s="8">
        <v>1.53</v>
      </c>
      <c r="E41" s="12">
        <v>9</v>
      </c>
      <c r="F41" s="8">
        <v>0.83</v>
      </c>
      <c r="G41" s="12">
        <v>20</v>
      </c>
      <c r="H41" s="8">
        <v>2.5299999999999998</v>
      </c>
      <c r="I41" s="12">
        <v>0</v>
      </c>
    </row>
    <row r="42" spans="2:9" ht="15" customHeight="1" x14ac:dyDescent="0.2">
      <c r="B42" t="s">
        <v>113</v>
      </c>
      <c r="C42" s="12">
        <v>23</v>
      </c>
      <c r="D42" s="8">
        <v>1.22</v>
      </c>
      <c r="E42" s="12">
        <v>8</v>
      </c>
      <c r="F42" s="8">
        <v>0.74</v>
      </c>
      <c r="G42" s="12">
        <v>15</v>
      </c>
      <c r="H42" s="8">
        <v>1.89</v>
      </c>
      <c r="I42" s="12">
        <v>0</v>
      </c>
    </row>
    <row r="43" spans="2:9" ht="15" customHeight="1" x14ac:dyDescent="0.2">
      <c r="B43" t="s">
        <v>100</v>
      </c>
      <c r="C43" s="12">
        <v>19</v>
      </c>
      <c r="D43" s="8">
        <v>1.01</v>
      </c>
      <c r="E43" s="12">
        <v>7</v>
      </c>
      <c r="F43" s="8">
        <v>0.65</v>
      </c>
      <c r="G43" s="12">
        <v>12</v>
      </c>
      <c r="H43" s="8">
        <v>1.52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173</v>
      </c>
      <c r="C47" s="12">
        <v>115</v>
      </c>
      <c r="D47" s="8">
        <v>6.08</v>
      </c>
      <c r="E47" s="12">
        <v>104</v>
      </c>
      <c r="F47" s="8">
        <v>9.6300000000000008</v>
      </c>
      <c r="G47" s="12">
        <v>11</v>
      </c>
      <c r="H47" s="8">
        <v>1.39</v>
      </c>
      <c r="I47" s="12">
        <v>0</v>
      </c>
    </row>
    <row r="48" spans="2:9" ht="15" customHeight="1" x14ac:dyDescent="0.2">
      <c r="B48" t="s">
        <v>167</v>
      </c>
      <c r="C48" s="12">
        <v>76</v>
      </c>
      <c r="D48" s="8">
        <v>4.0199999999999996</v>
      </c>
      <c r="E48" s="12">
        <v>43</v>
      </c>
      <c r="F48" s="8">
        <v>3.98</v>
      </c>
      <c r="G48" s="12">
        <v>33</v>
      </c>
      <c r="H48" s="8">
        <v>4.17</v>
      </c>
      <c r="I48" s="12">
        <v>0</v>
      </c>
    </row>
    <row r="49" spans="2:9" ht="15" customHeight="1" x14ac:dyDescent="0.2">
      <c r="B49" t="s">
        <v>172</v>
      </c>
      <c r="C49" s="12">
        <v>69</v>
      </c>
      <c r="D49" s="8">
        <v>3.65</v>
      </c>
      <c r="E49" s="12">
        <v>67</v>
      </c>
      <c r="F49" s="8">
        <v>6.2</v>
      </c>
      <c r="G49" s="12">
        <v>2</v>
      </c>
      <c r="H49" s="8">
        <v>0.25</v>
      </c>
      <c r="I49" s="12">
        <v>0</v>
      </c>
    </row>
    <row r="50" spans="2:9" ht="15" customHeight="1" x14ac:dyDescent="0.2">
      <c r="B50" t="s">
        <v>169</v>
      </c>
      <c r="C50" s="12">
        <v>67</v>
      </c>
      <c r="D50" s="8">
        <v>3.54</v>
      </c>
      <c r="E50" s="12">
        <v>59</v>
      </c>
      <c r="F50" s="8">
        <v>5.46</v>
      </c>
      <c r="G50" s="12">
        <v>8</v>
      </c>
      <c r="H50" s="8">
        <v>1.01</v>
      </c>
      <c r="I50" s="12">
        <v>0</v>
      </c>
    </row>
    <row r="51" spans="2:9" ht="15" customHeight="1" x14ac:dyDescent="0.2">
      <c r="B51" t="s">
        <v>170</v>
      </c>
      <c r="C51" s="12">
        <v>61</v>
      </c>
      <c r="D51" s="8">
        <v>3.23</v>
      </c>
      <c r="E51" s="12">
        <v>54</v>
      </c>
      <c r="F51" s="8">
        <v>5</v>
      </c>
      <c r="G51" s="12">
        <v>7</v>
      </c>
      <c r="H51" s="8">
        <v>0.88</v>
      </c>
      <c r="I51" s="12">
        <v>0</v>
      </c>
    </row>
    <row r="52" spans="2:9" ht="15" customHeight="1" x14ac:dyDescent="0.2">
      <c r="B52" t="s">
        <v>175</v>
      </c>
      <c r="C52" s="12">
        <v>56</v>
      </c>
      <c r="D52" s="8">
        <v>2.96</v>
      </c>
      <c r="E52" s="12">
        <v>49</v>
      </c>
      <c r="F52" s="8">
        <v>4.54</v>
      </c>
      <c r="G52" s="12">
        <v>7</v>
      </c>
      <c r="H52" s="8">
        <v>0.88</v>
      </c>
      <c r="I52" s="12">
        <v>0</v>
      </c>
    </row>
    <row r="53" spans="2:9" ht="15" customHeight="1" x14ac:dyDescent="0.2">
      <c r="B53" t="s">
        <v>174</v>
      </c>
      <c r="C53" s="12">
        <v>47</v>
      </c>
      <c r="D53" s="8">
        <v>2.4900000000000002</v>
      </c>
      <c r="E53" s="12">
        <v>37</v>
      </c>
      <c r="F53" s="8">
        <v>3.43</v>
      </c>
      <c r="G53" s="12">
        <v>10</v>
      </c>
      <c r="H53" s="8">
        <v>1.26</v>
      </c>
      <c r="I53" s="12">
        <v>0</v>
      </c>
    </row>
    <row r="54" spans="2:9" ht="15" customHeight="1" x14ac:dyDescent="0.2">
      <c r="B54" t="s">
        <v>164</v>
      </c>
      <c r="C54" s="12">
        <v>45</v>
      </c>
      <c r="D54" s="8">
        <v>2.38</v>
      </c>
      <c r="E54" s="12">
        <v>26</v>
      </c>
      <c r="F54" s="8">
        <v>2.41</v>
      </c>
      <c r="G54" s="12">
        <v>19</v>
      </c>
      <c r="H54" s="8">
        <v>2.4</v>
      </c>
      <c r="I54" s="12">
        <v>0</v>
      </c>
    </row>
    <row r="55" spans="2:9" ht="15" customHeight="1" x14ac:dyDescent="0.2">
      <c r="B55" t="s">
        <v>163</v>
      </c>
      <c r="C55" s="12">
        <v>39</v>
      </c>
      <c r="D55" s="8">
        <v>2.06</v>
      </c>
      <c r="E55" s="12">
        <v>23</v>
      </c>
      <c r="F55" s="8">
        <v>2.13</v>
      </c>
      <c r="G55" s="12">
        <v>16</v>
      </c>
      <c r="H55" s="8">
        <v>2.02</v>
      </c>
      <c r="I55" s="12">
        <v>0</v>
      </c>
    </row>
    <row r="56" spans="2:9" ht="15" customHeight="1" x14ac:dyDescent="0.2">
      <c r="B56" t="s">
        <v>176</v>
      </c>
      <c r="C56" s="12">
        <v>39</v>
      </c>
      <c r="D56" s="8">
        <v>2.06</v>
      </c>
      <c r="E56" s="12">
        <v>30</v>
      </c>
      <c r="F56" s="8">
        <v>2.78</v>
      </c>
      <c r="G56" s="12">
        <v>9</v>
      </c>
      <c r="H56" s="8">
        <v>1.1399999999999999</v>
      </c>
      <c r="I56" s="12">
        <v>0</v>
      </c>
    </row>
    <row r="57" spans="2:9" ht="15" customHeight="1" x14ac:dyDescent="0.2">
      <c r="B57" t="s">
        <v>162</v>
      </c>
      <c r="C57" s="12">
        <v>37</v>
      </c>
      <c r="D57" s="8">
        <v>1.96</v>
      </c>
      <c r="E57" s="12">
        <v>26</v>
      </c>
      <c r="F57" s="8">
        <v>2.41</v>
      </c>
      <c r="G57" s="12">
        <v>11</v>
      </c>
      <c r="H57" s="8">
        <v>1.39</v>
      </c>
      <c r="I57" s="12">
        <v>0</v>
      </c>
    </row>
    <row r="58" spans="2:9" ht="15" customHeight="1" x14ac:dyDescent="0.2">
      <c r="B58" t="s">
        <v>159</v>
      </c>
      <c r="C58" s="12">
        <v>30</v>
      </c>
      <c r="D58" s="8">
        <v>1.59</v>
      </c>
      <c r="E58" s="12">
        <v>11</v>
      </c>
      <c r="F58" s="8">
        <v>1.02</v>
      </c>
      <c r="G58" s="12">
        <v>19</v>
      </c>
      <c r="H58" s="8">
        <v>2.4</v>
      </c>
      <c r="I58" s="12">
        <v>0</v>
      </c>
    </row>
    <row r="59" spans="2:9" ht="15" customHeight="1" x14ac:dyDescent="0.2">
      <c r="B59" t="s">
        <v>191</v>
      </c>
      <c r="C59" s="12">
        <v>30</v>
      </c>
      <c r="D59" s="8">
        <v>1.59</v>
      </c>
      <c r="E59" s="12">
        <v>29</v>
      </c>
      <c r="F59" s="8">
        <v>2.69</v>
      </c>
      <c r="G59" s="12">
        <v>1</v>
      </c>
      <c r="H59" s="8">
        <v>0.13</v>
      </c>
      <c r="I59" s="12">
        <v>0</v>
      </c>
    </row>
    <row r="60" spans="2:9" ht="15" customHeight="1" x14ac:dyDescent="0.2">
      <c r="B60" t="s">
        <v>185</v>
      </c>
      <c r="C60" s="12">
        <v>29</v>
      </c>
      <c r="D60" s="8">
        <v>1.53</v>
      </c>
      <c r="E60" s="12">
        <v>6</v>
      </c>
      <c r="F60" s="8">
        <v>0.56000000000000005</v>
      </c>
      <c r="G60" s="12">
        <v>23</v>
      </c>
      <c r="H60" s="8">
        <v>2.9</v>
      </c>
      <c r="I60" s="12">
        <v>0</v>
      </c>
    </row>
    <row r="61" spans="2:9" ht="15" customHeight="1" x14ac:dyDescent="0.2">
      <c r="B61" t="s">
        <v>171</v>
      </c>
      <c r="C61" s="12">
        <v>29</v>
      </c>
      <c r="D61" s="8">
        <v>1.53</v>
      </c>
      <c r="E61" s="12">
        <v>17</v>
      </c>
      <c r="F61" s="8">
        <v>1.57</v>
      </c>
      <c r="G61" s="12">
        <v>12</v>
      </c>
      <c r="H61" s="8">
        <v>1.52</v>
      </c>
      <c r="I61" s="12">
        <v>0</v>
      </c>
    </row>
    <row r="62" spans="2:9" ht="15" customHeight="1" x14ac:dyDescent="0.2">
      <c r="B62" t="s">
        <v>157</v>
      </c>
      <c r="C62" s="12">
        <v>28</v>
      </c>
      <c r="D62" s="8">
        <v>1.48</v>
      </c>
      <c r="E62" s="12">
        <v>3</v>
      </c>
      <c r="F62" s="8">
        <v>0.28000000000000003</v>
      </c>
      <c r="G62" s="12">
        <v>25</v>
      </c>
      <c r="H62" s="8">
        <v>3.16</v>
      </c>
      <c r="I62" s="12">
        <v>0</v>
      </c>
    </row>
    <row r="63" spans="2:9" ht="15" customHeight="1" x14ac:dyDescent="0.2">
      <c r="B63" t="s">
        <v>161</v>
      </c>
      <c r="C63" s="12">
        <v>28</v>
      </c>
      <c r="D63" s="8">
        <v>1.48</v>
      </c>
      <c r="E63" s="12">
        <v>8</v>
      </c>
      <c r="F63" s="8">
        <v>0.74</v>
      </c>
      <c r="G63" s="12">
        <v>20</v>
      </c>
      <c r="H63" s="8">
        <v>2.5299999999999998</v>
      </c>
      <c r="I63" s="12">
        <v>0</v>
      </c>
    </row>
    <row r="64" spans="2:9" ht="15" customHeight="1" x14ac:dyDescent="0.2">
      <c r="B64" t="s">
        <v>160</v>
      </c>
      <c r="C64" s="12">
        <v>27</v>
      </c>
      <c r="D64" s="8">
        <v>1.43</v>
      </c>
      <c r="E64" s="12">
        <v>8</v>
      </c>
      <c r="F64" s="8">
        <v>0.74</v>
      </c>
      <c r="G64" s="12">
        <v>19</v>
      </c>
      <c r="H64" s="8">
        <v>2.4</v>
      </c>
      <c r="I64" s="12">
        <v>0</v>
      </c>
    </row>
    <row r="65" spans="2:9" ht="15" customHeight="1" x14ac:dyDescent="0.2">
      <c r="B65" t="s">
        <v>165</v>
      </c>
      <c r="C65" s="12">
        <v>27</v>
      </c>
      <c r="D65" s="8">
        <v>1.43</v>
      </c>
      <c r="E65" s="12">
        <v>9</v>
      </c>
      <c r="F65" s="8">
        <v>0.83</v>
      </c>
      <c r="G65" s="12">
        <v>18</v>
      </c>
      <c r="H65" s="8">
        <v>2.27</v>
      </c>
      <c r="I65" s="12">
        <v>0</v>
      </c>
    </row>
    <row r="66" spans="2:9" ht="15" customHeight="1" x14ac:dyDescent="0.2">
      <c r="B66" t="s">
        <v>166</v>
      </c>
      <c r="C66" s="12">
        <v>27</v>
      </c>
      <c r="D66" s="8">
        <v>1.43</v>
      </c>
      <c r="E66" s="12">
        <v>3</v>
      </c>
      <c r="F66" s="8">
        <v>0.28000000000000003</v>
      </c>
      <c r="G66" s="12">
        <v>24</v>
      </c>
      <c r="H66" s="8">
        <v>3.03</v>
      </c>
      <c r="I66" s="12">
        <v>0</v>
      </c>
    </row>
    <row r="68" spans="2:9" ht="15" customHeight="1" x14ac:dyDescent="0.2">
      <c r="B68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BDD9B-F701-4087-A2EC-095E74D42250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293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295</v>
      </c>
      <c r="D6" s="8">
        <v>15.53</v>
      </c>
      <c r="E6" s="12">
        <v>88</v>
      </c>
      <c r="F6" s="8">
        <v>9.25</v>
      </c>
      <c r="G6" s="12">
        <v>207</v>
      </c>
      <c r="H6" s="8">
        <v>21.93</v>
      </c>
      <c r="I6" s="12">
        <v>0</v>
      </c>
    </row>
    <row r="7" spans="2:9" ht="15" customHeight="1" x14ac:dyDescent="0.2">
      <c r="B7" t="s">
        <v>76</v>
      </c>
      <c r="C7" s="12">
        <v>148</v>
      </c>
      <c r="D7" s="8">
        <v>7.79</v>
      </c>
      <c r="E7" s="12">
        <v>45</v>
      </c>
      <c r="F7" s="8">
        <v>4.7300000000000004</v>
      </c>
      <c r="G7" s="12">
        <v>103</v>
      </c>
      <c r="H7" s="8">
        <v>10.91</v>
      </c>
      <c r="I7" s="12">
        <v>0</v>
      </c>
    </row>
    <row r="8" spans="2:9" ht="15" customHeight="1" x14ac:dyDescent="0.2">
      <c r="B8" t="s">
        <v>77</v>
      </c>
      <c r="C8" s="12">
        <v>5</v>
      </c>
      <c r="D8" s="8">
        <v>0.26</v>
      </c>
      <c r="E8" s="12">
        <v>0</v>
      </c>
      <c r="F8" s="8">
        <v>0</v>
      </c>
      <c r="G8" s="12">
        <v>5</v>
      </c>
      <c r="H8" s="8">
        <v>0.53</v>
      </c>
      <c r="I8" s="12">
        <v>0</v>
      </c>
    </row>
    <row r="9" spans="2:9" ht="15" customHeight="1" x14ac:dyDescent="0.2">
      <c r="B9" t="s">
        <v>78</v>
      </c>
      <c r="C9" s="12">
        <v>12</v>
      </c>
      <c r="D9" s="8">
        <v>0.63</v>
      </c>
      <c r="E9" s="12">
        <v>1</v>
      </c>
      <c r="F9" s="8">
        <v>0.11</v>
      </c>
      <c r="G9" s="12">
        <v>11</v>
      </c>
      <c r="H9" s="8">
        <v>1.17</v>
      </c>
      <c r="I9" s="12">
        <v>0</v>
      </c>
    </row>
    <row r="10" spans="2:9" ht="15" customHeight="1" x14ac:dyDescent="0.2">
      <c r="B10" t="s">
        <v>79</v>
      </c>
      <c r="C10" s="12">
        <v>27</v>
      </c>
      <c r="D10" s="8">
        <v>1.42</v>
      </c>
      <c r="E10" s="12">
        <v>4</v>
      </c>
      <c r="F10" s="8">
        <v>0.42</v>
      </c>
      <c r="G10" s="12">
        <v>23</v>
      </c>
      <c r="H10" s="8">
        <v>2.44</v>
      </c>
      <c r="I10" s="12">
        <v>0</v>
      </c>
    </row>
    <row r="11" spans="2:9" ht="15" customHeight="1" x14ac:dyDescent="0.2">
      <c r="B11" t="s">
        <v>80</v>
      </c>
      <c r="C11" s="12">
        <v>411</v>
      </c>
      <c r="D11" s="8">
        <v>21.63</v>
      </c>
      <c r="E11" s="12">
        <v>174</v>
      </c>
      <c r="F11" s="8">
        <v>18.3</v>
      </c>
      <c r="G11" s="12">
        <v>237</v>
      </c>
      <c r="H11" s="8">
        <v>25.11</v>
      </c>
      <c r="I11" s="12">
        <v>0</v>
      </c>
    </row>
    <row r="12" spans="2:9" ht="15" customHeight="1" x14ac:dyDescent="0.2">
      <c r="B12" t="s">
        <v>81</v>
      </c>
      <c r="C12" s="12">
        <v>4</v>
      </c>
      <c r="D12" s="8">
        <v>0.21</v>
      </c>
      <c r="E12" s="12">
        <v>1</v>
      </c>
      <c r="F12" s="8">
        <v>0.11</v>
      </c>
      <c r="G12" s="12">
        <v>3</v>
      </c>
      <c r="H12" s="8">
        <v>0.32</v>
      </c>
      <c r="I12" s="12">
        <v>0</v>
      </c>
    </row>
    <row r="13" spans="2:9" ht="15" customHeight="1" x14ac:dyDescent="0.2">
      <c r="B13" t="s">
        <v>82</v>
      </c>
      <c r="C13" s="12">
        <v>129</v>
      </c>
      <c r="D13" s="8">
        <v>6.79</v>
      </c>
      <c r="E13" s="12">
        <v>32</v>
      </c>
      <c r="F13" s="8">
        <v>3.36</v>
      </c>
      <c r="G13" s="12">
        <v>97</v>
      </c>
      <c r="H13" s="8">
        <v>10.28</v>
      </c>
      <c r="I13" s="12">
        <v>0</v>
      </c>
    </row>
    <row r="14" spans="2:9" ht="15" customHeight="1" x14ac:dyDescent="0.2">
      <c r="B14" t="s">
        <v>83</v>
      </c>
      <c r="C14" s="12">
        <v>106</v>
      </c>
      <c r="D14" s="8">
        <v>5.58</v>
      </c>
      <c r="E14" s="12">
        <v>48</v>
      </c>
      <c r="F14" s="8">
        <v>5.05</v>
      </c>
      <c r="G14" s="12">
        <v>57</v>
      </c>
      <c r="H14" s="8">
        <v>6.04</v>
      </c>
      <c r="I14" s="12">
        <v>0</v>
      </c>
    </row>
    <row r="15" spans="2:9" ht="15" customHeight="1" x14ac:dyDescent="0.2">
      <c r="B15" t="s">
        <v>84</v>
      </c>
      <c r="C15" s="12">
        <v>235</v>
      </c>
      <c r="D15" s="8">
        <v>12.37</v>
      </c>
      <c r="E15" s="12">
        <v>196</v>
      </c>
      <c r="F15" s="8">
        <v>20.61</v>
      </c>
      <c r="G15" s="12">
        <v>39</v>
      </c>
      <c r="H15" s="8">
        <v>4.13</v>
      </c>
      <c r="I15" s="12">
        <v>0</v>
      </c>
    </row>
    <row r="16" spans="2:9" ht="15" customHeight="1" x14ac:dyDescent="0.2">
      <c r="B16" t="s">
        <v>85</v>
      </c>
      <c r="C16" s="12">
        <v>259</v>
      </c>
      <c r="D16" s="8">
        <v>13.63</v>
      </c>
      <c r="E16" s="12">
        <v>197</v>
      </c>
      <c r="F16" s="8">
        <v>20.72</v>
      </c>
      <c r="G16" s="12">
        <v>62</v>
      </c>
      <c r="H16" s="8">
        <v>6.57</v>
      </c>
      <c r="I16" s="12">
        <v>0</v>
      </c>
    </row>
    <row r="17" spans="2:9" ht="15" customHeight="1" x14ac:dyDescent="0.2">
      <c r="B17" t="s">
        <v>86</v>
      </c>
      <c r="C17" s="12">
        <v>83</v>
      </c>
      <c r="D17" s="8">
        <v>4.37</v>
      </c>
      <c r="E17" s="12">
        <v>61</v>
      </c>
      <c r="F17" s="8">
        <v>6.41</v>
      </c>
      <c r="G17" s="12">
        <v>18</v>
      </c>
      <c r="H17" s="8">
        <v>1.91</v>
      </c>
      <c r="I17" s="12">
        <v>0</v>
      </c>
    </row>
    <row r="18" spans="2:9" ht="15" customHeight="1" x14ac:dyDescent="0.2">
      <c r="B18" t="s">
        <v>87</v>
      </c>
      <c r="C18" s="12">
        <v>118</v>
      </c>
      <c r="D18" s="8">
        <v>6.21</v>
      </c>
      <c r="E18" s="12">
        <v>73</v>
      </c>
      <c r="F18" s="8">
        <v>7.68</v>
      </c>
      <c r="G18" s="12">
        <v>45</v>
      </c>
      <c r="H18" s="8">
        <v>4.7699999999999996</v>
      </c>
      <c r="I18" s="12">
        <v>0</v>
      </c>
    </row>
    <row r="19" spans="2:9" ht="15" customHeight="1" x14ac:dyDescent="0.2">
      <c r="B19" t="s">
        <v>88</v>
      </c>
      <c r="C19" s="12">
        <v>68</v>
      </c>
      <c r="D19" s="8">
        <v>3.58</v>
      </c>
      <c r="E19" s="12">
        <v>31</v>
      </c>
      <c r="F19" s="8">
        <v>3.26</v>
      </c>
      <c r="G19" s="12">
        <v>37</v>
      </c>
      <c r="H19" s="8">
        <v>3.92</v>
      </c>
      <c r="I19" s="12">
        <v>0</v>
      </c>
    </row>
    <row r="20" spans="2:9" ht="15" customHeight="1" x14ac:dyDescent="0.2">
      <c r="B20" s="9" t="s">
        <v>269</v>
      </c>
      <c r="C20" s="12">
        <f>SUM(LTBL_11212[総数／事業所数])</f>
        <v>1900</v>
      </c>
      <c r="E20" s="12">
        <f>SUBTOTAL(109,LTBL_11212[個人／事業所数])</f>
        <v>951</v>
      </c>
      <c r="G20" s="12">
        <f>SUBTOTAL(109,LTBL_11212[法人／事業所数])</f>
        <v>944</v>
      </c>
      <c r="I20" s="12">
        <f>SUBTOTAL(109,LTBL_11212[法人以外の団体／事業所数])</f>
        <v>0</v>
      </c>
    </row>
    <row r="21" spans="2:9" ht="15" customHeight="1" x14ac:dyDescent="0.2">
      <c r="E21" s="11">
        <f>LTBL_11212[[#Totals],[個人／事業所数]]/LTBL_11212[[#Totals],[総数／事業所数]]</f>
        <v>0.50052631578947371</v>
      </c>
      <c r="G21" s="11">
        <f>LTBL_11212[[#Totals],[法人／事業所数]]/LTBL_11212[[#Totals],[総数／事業所数]]</f>
        <v>0.49684210526315792</v>
      </c>
      <c r="I21" s="11">
        <f>LTBL_11212[[#Totals],[法人以外の団体／事業所数]]/LTBL_11212[[#Totals],[総数／事業所数]]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111</v>
      </c>
      <c r="C24" s="12">
        <v>230</v>
      </c>
      <c r="D24" s="8">
        <v>12.11</v>
      </c>
      <c r="E24" s="12">
        <v>194</v>
      </c>
      <c r="F24" s="8">
        <v>20.399999999999999</v>
      </c>
      <c r="G24" s="12">
        <v>36</v>
      </c>
      <c r="H24" s="8">
        <v>3.81</v>
      </c>
      <c r="I24" s="12">
        <v>0</v>
      </c>
    </row>
    <row r="25" spans="2:9" ht="15" customHeight="1" x14ac:dyDescent="0.2">
      <c r="B25" t="s">
        <v>112</v>
      </c>
      <c r="C25" s="12">
        <v>213</v>
      </c>
      <c r="D25" s="8">
        <v>11.21</v>
      </c>
      <c r="E25" s="12">
        <v>180</v>
      </c>
      <c r="F25" s="8">
        <v>18.93</v>
      </c>
      <c r="G25" s="12">
        <v>33</v>
      </c>
      <c r="H25" s="8">
        <v>3.5</v>
      </c>
      <c r="I25" s="12">
        <v>0</v>
      </c>
    </row>
    <row r="26" spans="2:9" ht="15" customHeight="1" x14ac:dyDescent="0.2">
      <c r="B26" t="s">
        <v>106</v>
      </c>
      <c r="C26" s="12">
        <v>128</v>
      </c>
      <c r="D26" s="8">
        <v>6.74</v>
      </c>
      <c r="E26" s="12">
        <v>55</v>
      </c>
      <c r="F26" s="8">
        <v>5.78</v>
      </c>
      <c r="G26" s="12">
        <v>73</v>
      </c>
      <c r="H26" s="8">
        <v>7.73</v>
      </c>
      <c r="I26" s="12">
        <v>0</v>
      </c>
    </row>
    <row r="27" spans="2:9" ht="15" customHeight="1" x14ac:dyDescent="0.2">
      <c r="B27" t="s">
        <v>97</v>
      </c>
      <c r="C27" s="12">
        <v>125</v>
      </c>
      <c r="D27" s="8">
        <v>6.58</v>
      </c>
      <c r="E27" s="12">
        <v>32</v>
      </c>
      <c r="F27" s="8">
        <v>3.36</v>
      </c>
      <c r="G27" s="12">
        <v>93</v>
      </c>
      <c r="H27" s="8">
        <v>9.85</v>
      </c>
      <c r="I27" s="12">
        <v>0</v>
      </c>
    </row>
    <row r="28" spans="2:9" ht="15" customHeight="1" x14ac:dyDescent="0.2">
      <c r="B28" t="s">
        <v>98</v>
      </c>
      <c r="C28" s="12">
        <v>102</v>
      </c>
      <c r="D28" s="8">
        <v>5.37</v>
      </c>
      <c r="E28" s="12">
        <v>42</v>
      </c>
      <c r="F28" s="8">
        <v>4.42</v>
      </c>
      <c r="G28" s="12">
        <v>60</v>
      </c>
      <c r="H28" s="8">
        <v>6.36</v>
      </c>
      <c r="I28" s="12">
        <v>0</v>
      </c>
    </row>
    <row r="29" spans="2:9" ht="15" customHeight="1" x14ac:dyDescent="0.2">
      <c r="B29" t="s">
        <v>108</v>
      </c>
      <c r="C29" s="12">
        <v>96</v>
      </c>
      <c r="D29" s="8">
        <v>5.05</v>
      </c>
      <c r="E29" s="12">
        <v>29</v>
      </c>
      <c r="F29" s="8">
        <v>3.05</v>
      </c>
      <c r="G29" s="12">
        <v>67</v>
      </c>
      <c r="H29" s="8">
        <v>7.1</v>
      </c>
      <c r="I29" s="12">
        <v>0</v>
      </c>
    </row>
    <row r="30" spans="2:9" ht="15" customHeight="1" x14ac:dyDescent="0.2">
      <c r="B30" t="s">
        <v>115</v>
      </c>
      <c r="C30" s="12">
        <v>84</v>
      </c>
      <c r="D30" s="8">
        <v>4.42</v>
      </c>
      <c r="E30" s="12">
        <v>73</v>
      </c>
      <c r="F30" s="8">
        <v>7.68</v>
      </c>
      <c r="G30" s="12">
        <v>11</v>
      </c>
      <c r="H30" s="8">
        <v>1.17</v>
      </c>
      <c r="I30" s="12">
        <v>0</v>
      </c>
    </row>
    <row r="31" spans="2:9" ht="15" customHeight="1" x14ac:dyDescent="0.2">
      <c r="B31" t="s">
        <v>104</v>
      </c>
      <c r="C31" s="12">
        <v>83</v>
      </c>
      <c r="D31" s="8">
        <v>4.37</v>
      </c>
      <c r="E31" s="12">
        <v>53</v>
      </c>
      <c r="F31" s="8">
        <v>5.57</v>
      </c>
      <c r="G31" s="12">
        <v>30</v>
      </c>
      <c r="H31" s="8">
        <v>3.18</v>
      </c>
      <c r="I31" s="12">
        <v>0</v>
      </c>
    </row>
    <row r="32" spans="2:9" ht="15" customHeight="1" x14ac:dyDescent="0.2">
      <c r="B32" t="s">
        <v>114</v>
      </c>
      <c r="C32" s="12">
        <v>83</v>
      </c>
      <c r="D32" s="8">
        <v>4.37</v>
      </c>
      <c r="E32" s="12">
        <v>61</v>
      </c>
      <c r="F32" s="8">
        <v>6.41</v>
      </c>
      <c r="G32" s="12">
        <v>18</v>
      </c>
      <c r="H32" s="8">
        <v>1.91</v>
      </c>
      <c r="I32" s="12">
        <v>0</v>
      </c>
    </row>
    <row r="33" spans="2:9" ht="15" customHeight="1" x14ac:dyDescent="0.2">
      <c r="B33" t="s">
        <v>99</v>
      </c>
      <c r="C33" s="12">
        <v>68</v>
      </c>
      <c r="D33" s="8">
        <v>3.58</v>
      </c>
      <c r="E33" s="12">
        <v>14</v>
      </c>
      <c r="F33" s="8">
        <v>1.47</v>
      </c>
      <c r="G33" s="12">
        <v>54</v>
      </c>
      <c r="H33" s="8">
        <v>5.72</v>
      </c>
      <c r="I33" s="12">
        <v>0</v>
      </c>
    </row>
    <row r="34" spans="2:9" ht="15" customHeight="1" x14ac:dyDescent="0.2">
      <c r="B34" t="s">
        <v>105</v>
      </c>
      <c r="C34" s="12">
        <v>67</v>
      </c>
      <c r="D34" s="8">
        <v>3.53</v>
      </c>
      <c r="E34" s="12">
        <v>31</v>
      </c>
      <c r="F34" s="8">
        <v>3.26</v>
      </c>
      <c r="G34" s="12">
        <v>36</v>
      </c>
      <c r="H34" s="8">
        <v>3.81</v>
      </c>
      <c r="I34" s="12">
        <v>0</v>
      </c>
    </row>
    <row r="35" spans="2:9" ht="15" customHeight="1" x14ac:dyDescent="0.2">
      <c r="B35" t="s">
        <v>109</v>
      </c>
      <c r="C35" s="12">
        <v>56</v>
      </c>
      <c r="D35" s="8">
        <v>2.95</v>
      </c>
      <c r="E35" s="12">
        <v>33</v>
      </c>
      <c r="F35" s="8">
        <v>3.47</v>
      </c>
      <c r="G35" s="12">
        <v>23</v>
      </c>
      <c r="H35" s="8">
        <v>2.44</v>
      </c>
      <c r="I35" s="12">
        <v>0</v>
      </c>
    </row>
    <row r="36" spans="2:9" ht="15" customHeight="1" x14ac:dyDescent="0.2">
      <c r="B36" t="s">
        <v>110</v>
      </c>
      <c r="C36" s="12">
        <v>47</v>
      </c>
      <c r="D36" s="8">
        <v>2.4700000000000002</v>
      </c>
      <c r="E36" s="12">
        <v>15</v>
      </c>
      <c r="F36" s="8">
        <v>1.58</v>
      </c>
      <c r="G36" s="12">
        <v>31</v>
      </c>
      <c r="H36" s="8">
        <v>3.28</v>
      </c>
      <c r="I36" s="12">
        <v>0</v>
      </c>
    </row>
    <row r="37" spans="2:9" ht="15" customHeight="1" x14ac:dyDescent="0.2">
      <c r="B37" t="s">
        <v>103</v>
      </c>
      <c r="C37" s="12">
        <v>42</v>
      </c>
      <c r="D37" s="8">
        <v>2.21</v>
      </c>
      <c r="E37" s="12">
        <v>13</v>
      </c>
      <c r="F37" s="8">
        <v>1.37</v>
      </c>
      <c r="G37" s="12">
        <v>29</v>
      </c>
      <c r="H37" s="8">
        <v>3.07</v>
      </c>
      <c r="I37" s="12">
        <v>0</v>
      </c>
    </row>
    <row r="38" spans="2:9" ht="15" customHeight="1" x14ac:dyDescent="0.2">
      <c r="B38" t="s">
        <v>116</v>
      </c>
      <c r="C38" s="12">
        <v>41</v>
      </c>
      <c r="D38" s="8">
        <v>2.16</v>
      </c>
      <c r="E38" s="12">
        <v>27</v>
      </c>
      <c r="F38" s="8">
        <v>2.84</v>
      </c>
      <c r="G38" s="12">
        <v>14</v>
      </c>
      <c r="H38" s="8">
        <v>1.48</v>
      </c>
      <c r="I38" s="12">
        <v>0</v>
      </c>
    </row>
    <row r="39" spans="2:9" ht="15" customHeight="1" x14ac:dyDescent="0.2">
      <c r="B39" t="s">
        <v>113</v>
      </c>
      <c r="C39" s="12">
        <v>35</v>
      </c>
      <c r="D39" s="8">
        <v>1.84</v>
      </c>
      <c r="E39" s="12">
        <v>11</v>
      </c>
      <c r="F39" s="8">
        <v>1.1599999999999999</v>
      </c>
      <c r="G39" s="12">
        <v>24</v>
      </c>
      <c r="H39" s="8">
        <v>2.54</v>
      </c>
      <c r="I39" s="12">
        <v>0</v>
      </c>
    </row>
    <row r="40" spans="2:9" ht="15" customHeight="1" x14ac:dyDescent="0.2">
      <c r="B40" t="s">
        <v>118</v>
      </c>
      <c r="C40" s="12">
        <v>34</v>
      </c>
      <c r="D40" s="8">
        <v>1.79</v>
      </c>
      <c r="E40" s="12">
        <v>0</v>
      </c>
      <c r="F40" s="8">
        <v>0</v>
      </c>
      <c r="G40" s="12">
        <v>34</v>
      </c>
      <c r="H40" s="8">
        <v>3.6</v>
      </c>
      <c r="I40" s="12">
        <v>0</v>
      </c>
    </row>
    <row r="41" spans="2:9" ht="15" customHeight="1" x14ac:dyDescent="0.2">
      <c r="B41" t="s">
        <v>107</v>
      </c>
      <c r="C41" s="12">
        <v>27</v>
      </c>
      <c r="D41" s="8">
        <v>1.42</v>
      </c>
      <c r="E41" s="12">
        <v>2</v>
      </c>
      <c r="F41" s="8">
        <v>0.21</v>
      </c>
      <c r="G41" s="12">
        <v>25</v>
      </c>
      <c r="H41" s="8">
        <v>2.65</v>
      </c>
      <c r="I41" s="12">
        <v>0</v>
      </c>
    </row>
    <row r="42" spans="2:9" ht="15" customHeight="1" x14ac:dyDescent="0.2">
      <c r="B42" t="s">
        <v>101</v>
      </c>
      <c r="C42" s="12">
        <v>24</v>
      </c>
      <c r="D42" s="8">
        <v>1.26</v>
      </c>
      <c r="E42" s="12">
        <v>6</v>
      </c>
      <c r="F42" s="8">
        <v>0.63</v>
      </c>
      <c r="G42" s="12">
        <v>18</v>
      </c>
      <c r="H42" s="8">
        <v>1.91</v>
      </c>
      <c r="I42" s="12">
        <v>0</v>
      </c>
    </row>
    <row r="43" spans="2:9" ht="15" customHeight="1" x14ac:dyDescent="0.2">
      <c r="B43" t="s">
        <v>102</v>
      </c>
      <c r="C43" s="12">
        <v>24</v>
      </c>
      <c r="D43" s="8">
        <v>1.26</v>
      </c>
      <c r="E43" s="12">
        <v>4</v>
      </c>
      <c r="F43" s="8">
        <v>0.42</v>
      </c>
      <c r="G43" s="12">
        <v>20</v>
      </c>
      <c r="H43" s="8">
        <v>2.12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173</v>
      </c>
      <c r="C47" s="12">
        <v>110</v>
      </c>
      <c r="D47" s="8">
        <v>5.79</v>
      </c>
      <c r="E47" s="12">
        <v>97</v>
      </c>
      <c r="F47" s="8">
        <v>10.199999999999999</v>
      </c>
      <c r="G47" s="12">
        <v>13</v>
      </c>
      <c r="H47" s="8">
        <v>1.38</v>
      </c>
      <c r="I47" s="12">
        <v>0</v>
      </c>
    </row>
    <row r="48" spans="2:9" ht="15" customHeight="1" x14ac:dyDescent="0.2">
      <c r="B48" t="s">
        <v>170</v>
      </c>
      <c r="C48" s="12">
        <v>73</v>
      </c>
      <c r="D48" s="8">
        <v>3.84</v>
      </c>
      <c r="E48" s="12">
        <v>66</v>
      </c>
      <c r="F48" s="8">
        <v>6.94</v>
      </c>
      <c r="G48" s="12">
        <v>7</v>
      </c>
      <c r="H48" s="8">
        <v>0.74</v>
      </c>
      <c r="I48" s="12">
        <v>0</v>
      </c>
    </row>
    <row r="49" spans="2:9" ht="15" customHeight="1" x14ac:dyDescent="0.2">
      <c r="B49" t="s">
        <v>172</v>
      </c>
      <c r="C49" s="12">
        <v>65</v>
      </c>
      <c r="D49" s="8">
        <v>3.42</v>
      </c>
      <c r="E49" s="12">
        <v>61</v>
      </c>
      <c r="F49" s="8">
        <v>6.41</v>
      </c>
      <c r="G49" s="12">
        <v>4</v>
      </c>
      <c r="H49" s="8">
        <v>0.42</v>
      </c>
      <c r="I49" s="12">
        <v>0</v>
      </c>
    </row>
    <row r="50" spans="2:9" ht="15" customHeight="1" x14ac:dyDescent="0.2">
      <c r="B50" t="s">
        <v>169</v>
      </c>
      <c r="C50" s="12">
        <v>58</v>
      </c>
      <c r="D50" s="8">
        <v>3.05</v>
      </c>
      <c r="E50" s="12">
        <v>45</v>
      </c>
      <c r="F50" s="8">
        <v>4.7300000000000004</v>
      </c>
      <c r="G50" s="12">
        <v>13</v>
      </c>
      <c r="H50" s="8">
        <v>1.38</v>
      </c>
      <c r="I50" s="12">
        <v>0</v>
      </c>
    </row>
    <row r="51" spans="2:9" ht="15" customHeight="1" x14ac:dyDescent="0.2">
      <c r="B51" t="s">
        <v>175</v>
      </c>
      <c r="C51" s="12">
        <v>57</v>
      </c>
      <c r="D51" s="8">
        <v>3</v>
      </c>
      <c r="E51" s="12">
        <v>50</v>
      </c>
      <c r="F51" s="8">
        <v>5.26</v>
      </c>
      <c r="G51" s="12">
        <v>7</v>
      </c>
      <c r="H51" s="8">
        <v>0.74</v>
      </c>
      <c r="I51" s="12">
        <v>0</v>
      </c>
    </row>
    <row r="52" spans="2:9" ht="15" customHeight="1" x14ac:dyDescent="0.2">
      <c r="B52" t="s">
        <v>174</v>
      </c>
      <c r="C52" s="12">
        <v>56</v>
      </c>
      <c r="D52" s="8">
        <v>2.95</v>
      </c>
      <c r="E52" s="12">
        <v>45</v>
      </c>
      <c r="F52" s="8">
        <v>4.7300000000000004</v>
      </c>
      <c r="G52" s="12">
        <v>11</v>
      </c>
      <c r="H52" s="8">
        <v>1.17</v>
      </c>
      <c r="I52" s="12">
        <v>0</v>
      </c>
    </row>
    <row r="53" spans="2:9" ht="15" customHeight="1" x14ac:dyDescent="0.2">
      <c r="B53" t="s">
        <v>167</v>
      </c>
      <c r="C53" s="12">
        <v>54</v>
      </c>
      <c r="D53" s="8">
        <v>2.84</v>
      </c>
      <c r="E53" s="12">
        <v>22</v>
      </c>
      <c r="F53" s="8">
        <v>2.31</v>
      </c>
      <c r="G53" s="12">
        <v>32</v>
      </c>
      <c r="H53" s="8">
        <v>3.39</v>
      </c>
      <c r="I53" s="12">
        <v>0</v>
      </c>
    </row>
    <row r="54" spans="2:9" ht="15" customHeight="1" x14ac:dyDescent="0.2">
      <c r="B54" t="s">
        <v>159</v>
      </c>
      <c r="C54" s="12">
        <v>47</v>
      </c>
      <c r="D54" s="8">
        <v>2.4700000000000002</v>
      </c>
      <c r="E54" s="12">
        <v>22</v>
      </c>
      <c r="F54" s="8">
        <v>2.31</v>
      </c>
      <c r="G54" s="12">
        <v>25</v>
      </c>
      <c r="H54" s="8">
        <v>2.65</v>
      </c>
      <c r="I54" s="12">
        <v>0</v>
      </c>
    </row>
    <row r="55" spans="2:9" ht="15" customHeight="1" x14ac:dyDescent="0.2">
      <c r="B55" t="s">
        <v>163</v>
      </c>
      <c r="C55" s="12">
        <v>46</v>
      </c>
      <c r="D55" s="8">
        <v>2.42</v>
      </c>
      <c r="E55" s="12">
        <v>18</v>
      </c>
      <c r="F55" s="8">
        <v>1.89</v>
      </c>
      <c r="G55" s="12">
        <v>28</v>
      </c>
      <c r="H55" s="8">
        <v>2.97</v>
      </c>
      <c r="I55" s="12">
        <v>0</v>
      </c>
    </row>
    <row r="56" spans="2:9" ht="15" customHeight="1" x14ac:dyDescent="0.2">
      <c r="B56" t="s">
        <v>176</v>
      </c>
      <c r="C56" s="12">
        <v>41</v>
      </c>
      <c r="D56" s="8">
        <v>2.16</v>
      </c>
      <c r="E56" s="12">
        <v>27</v>
      </c>
      <c r="F56" s="8">
        <v>2.84</v>
      </c>
      <c r="G56" s="12">
        <v>14</v>
      </c>
      <c r="H56" s="8">
        <v>1.48</v>
      </c>
      <c r="I56" s="12">
        <v>0</v>
      </c>
    </row>
    <row r="57" spans="2:9" ht="15" customHeight="1" x14ac:dyDescent="0.2">
      <c r="B57" t="s">
        <v>160</v>
      </c>
      <c r="C57" s="12">
        <v>36</v>
      </c>
      <c r="D57" s="8">
        <v>1.89</v>
      </c>
      <c r="E57" s="12">
        <v>7</v>
      </c>
      <c r="F57" s="8">
        <v>0.74</v>
      </c>
      <c r="G57" s="12">
        <v>29</v>
      </c>
      <c r="H57" s="8">
        <v>3.07</v>
      </c>
      <c r="I57" s="12">
        <v>0</v>
      </c>
    </row>
    <row r="58" spans="2:9" ht="15" customHeight="1" x14ac:dyDescent="0.2">
      <c r="B58" t="s">
        <v>164</v>
      </c>
      <c r="C58" s="12">
        <v>34</v>
      </c>
      <c r="D58" s="8">
        <v>1.79</v>
      </c>
      <c r="E58" s="12">
        <v>23</v>
      </c>
      <c r="F58" s="8">
        <v>2.42</v>
      </c>
      <c r="G58" s="12">
        <v>11</v>
      </c>
      <c r="H58" s="8">
        <v>1.17</v>
      </c>
      <c r="I58" s="12">
        <v>0</v>
      </c>
    </row>
    <row r="59" spans="2:9" ht="15" customHeight="1" x14ac:dyDescent="0.2">
      <c r="B59" t="s">
        <v>185</v>
      </c>
      <c r="C59" s="12">
        <v>31</v>
      </c>
      <c r="D59" s="8">
        <v>1.63</v>
      </c>
      <c r="E59" s="12">
        <v>9</v>
      </c>
      <c r="F59" s="8">
        <v>0.95</v>
      </c>
      <c r="G59" s="12">
        <v>22</v>
      </c>
      <c r="H59" s="8">
        <v>2.33</v>
      </c>
      <c r="I59" s="12">
        <v>0</v>
      </c>
    </row>
    <row r="60" spans="2:9" ht="15" customHeight="1" x14ac:dyDescent="0.2">
      <c r="B60" t="s">
        <v>178</v>
      </c>
      <c r="C60" s="12">
        <v>29</v>
      </c>
      <c r="D60" s="8">
        <v>1.53</v>
      </c>
      <c r="E60" s="12">
        <v>9</v>
      </c>
      <c r="F60" s="8">
        <v>0.95</v>
      </c>
      <c r="G60" s="12">
        <v>19</v>
      </c>
      <c r="H60" s="8">
        <v>2.0099999999999998</v>
      </c>
      <c r="I60" s="12">
        <v>0</v>
      </c>
    </row>
    <row r="61" spans="2:9" ht="15" customHeight="1" x14ac:dyDescent="0.2">
      <c r="B61" t="s">
        <v>157</v>
      </c>
      <c r="C61" s="12">
        <v>27</v>
      </c>
      <c r="D61" s="8">
        <v>1.42</v>
      </c>
      <c r="E61" s="12">
        <v>2</v>
      </c>
      <c r="F61" s="8">
        <v>0.21</v>
      </c>
      <c r="G61" s="12">
        <v>25</v>
      </c>
      <c r="H61" s="8">
        <v>2.65</v>
      </c>
      <c r="I61" s="12">
        <v>0</v>
      </c>
    </row>
    <row r="62" spans="2:9" ht="15" customHeight="1" x14ac:dyDescent="0.2">
      <c r="B62" t="s">
        <v>161</v>
      </c>
      <c r="C62" s="12">
        <v>27</v>
      </c>
      <c r="D62" s="8">
        <v>1.42</v>
      </c>
      <c r="E62" s="12">
        <v>7</v>
      </c>
      <c r="F62" s="8">
        <v>0.74</v>
      </c>
      <c r="G62" s="12">
        <v>20</v>
      </c>
      <c r="H62" s="8">
        <v>2.12</v>
      </c>
      <c r="I62" s="12">
        <v>0</v>
      </c>
    </row>
    <row r="63" spans="2:9" ht="15" customHeight="1" x14ac:dyDescent="0.2">
      <c r="B63" t="s">
        <v>162</v>
      </c>
      <c r="C63" s="12">
        <v>26</v>
      </c>
      <c r="D63" s="8">
        <v>1.37</v>
      </c>
      <c r="E63" s="12">
        <v>17</v>
      </c>
      <c r="F63" s="8">
        <v>1.79</v>
      </c>
      <c r="G63" s="12">
        <v>9</v>
      </c>
      <c r="H63" s="8">
        <v>0.95</v>
      </c>
      <c r="I63" s="12">
        <v>0</v>
      </c>
    </row>
    <row r="64" spans="2:9" ht="15" customHeight="1" x14ac:dyDescent="0.2">
      <c r="B64" t="s">
        <v>158</v>
      </c>
      <c r="C64" s="12">
        <v>25</v>
      </c>
      <c r="D64" s="8">
        <v>1.32</v>
      </c>
      <c r="E64" s="12">
        <v>3</v>
      </c>
      <c r="F64" s="8">
        <v>0.32</v>
      </c>
      <c r="G64" s="12">
        <v>22</v>
      </c>
      <c r="H64" s="8">
        <v>2.33</v>
      </c>
      <c r="I64" s="12">
        <v>0</v>
      </c>
    </row>
    <row r="65" spans="2:9" ht="15" customHeight="1" x14ac:dyDescent="0.2">
      <c r="B65" t="s">
        <v>188</v>
      </c>
      <c r="C65" s="12">
        <v>25</v>
      </c>
      <c r="D65" s="8">
        <v>1.32</v>
      </c>
      <c r="E65" s="12">
        <v>13</v>
      </c>
      <c r="F65" s="8">
        <v>1.37</v>
      </c>
      <c r="G65" s="12">
        <v>12</v>
      </c>
      <c r="H65" s="8">
        <v>1.27</v>
      </c>
      <c r="I65" s="12">
        <v>0</v>
      </c>
    </row>
    <row r="66" spans="2:9" ht="15" customHeight="1" x14ac:dyDescent="0.2">
      <c r="B66" t="s">
        <v>180</v>
      </c>
      <c r="C66" s="12">
        <v>23</v>
      </c>
      <c r="D66" s="8">
        <v>1.21</v>
      </c>
      <c r="E66" s="12">
        <v>8</v>
      </c>
      <c r="F66" s="8">
        <v>0.84</v>
      </c>
      <c r="G66" s="12">
        <v>15</v>
      </c>
      <c r="H66" s="8">
        <v>1.59</v>
      </c>
      <c r="I66" s="12">
        <v>0</v>
      </c>
    </row>
    <row r="67" spans="2:9" ht="15" customHeight="1" x14ac:dyDescent="0.2">
      <c r="B67" t="s">
        <v>205</v>
      </c>
      <c r="C67" s="12">
        <v>23</v>
      </c>
      <c r="D67" s="8">
        <v>1.21</v>
      </c>
      <c r="E67" s="12">
        <v>17</v>
      </c>
      <c r="F67" s="8">
        <v>1.79</v>
      </c>
      <c r="G67" s="12">
        <v>6</v>
      </c>
      <c r="H67" s="8">
        <v>0.64</v>
      </c>
      <c r="I67" s="12">
        <v>0</v>
      </c>
    </row>
    <row r="68" spans="2:9" ht="15" customHeight="1" x14ac:dyDescent="0.2">
      <c r="B68" t="s">
        <v>192</v>
      </c>
      <c r="C68" s="12">
        <v>23</v>
      </c>
      <c r="D68" s="8">
        <v>1.21</v>
      </c>
      <c r="E68" s="12">
        <v>18</v>
      </c>
      <c r="F68" s="8">
        <v>1.89</v>
      </c>
      <c r="G68" s="12">
        <v>5</v>
      </c>
      <c r="H68" s="8">
        <v>0.53</v>
      </c>
      <c r="I68" s="12">
        <v>0</v>
      </c>
    </row>
    <row r="70" spans="2:9" ht="15" customHeight="1" x14ac:dyDescent="0.2">
      <c r="B70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2799B-F3A6-4750-A5F5-E451F56D16E6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294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552</v>
      </c>
      <c r="D6" s="8">
        <v>13.13</v>
      </c>
      <c r="E6" s="12">
        <v>155</v>
      </c>
      <c r="F6" s="8">
        <v>7.02</v>
      </c>
      <c r="G6" s="12">
        <v>397</v>
      </c>
      <c r="H6" s="8">
        <v>20.16</v>
      </c>
      <c r="I6" s="12">
        <v>0</v>
      </c>
    </row>
    <row r="7" spans="2:9" ht="15" customHeight="1" x14ac:dyDescent="0.2">
      <c r="B7" t="s">
        <v>76</v>
      </c>
      <c r="C7" s="12">
        <v>382</v>
      </c>
      <c r="D7" s="8">
        <v>9.09</v>
      </c>
      <c r="E7" s="12">
        <v>135</v>
      </c>
      <c r="F7" s="8">
        <v>6.11</v>
      </c>
      <c r="G7" s="12">
        <v>247</v>
      </c>
      <c r="H7" s="8">
        <v>12.54</v>
      </c>
      <c r="I7" s="12">
        <v>0</v>
      </c>
    </row>
    <row r="8" spans="2:9" ht="15" customHeight="1" x14ac:dyDescent="0.2">
      <c r="B8" t="s">
        <v>77</v>
      </c>
      <c r="C8" s="12">
        <v>5</v>
      </c>
      <c r="D8" s="8">
        <v>0.12</v>
      </c>
      <c r="E8" s="12">
        <v>0</v>
      </c>
      <c r="F8" s="8">
        <v>0</v>
      </c>
      <c r="G8" s="12">
        <v>4</v>
      </c>
      <c r="H8" s="8">
        <v>0.2</v>
      </c>
      <c r="I8" s="12">
        <v>0</v>
      </c>
    </row>
    <row r="9" spans="2:9" ht="15" customHeight="1" x14ac:dyDescent="0.2">
      <c r="B9" t="s">
        <v>78</v>
      </c>
      <c r="C9" s="12">
        <v>42</v>
      </c>
      <c r="D9" s="8">
        <v>1</v>
      </c>
      <c r="E9" s="12">
        <v>1</v>
      </c>
      <c r="F9" s="8">
        <v>0.05</v>
      </c>
      <c r="G9" s="12">
        <v>41</v>
      </c>
      <c r="H9" s="8">
        <v>2.08</v>
      </c>
      <c r="I9" s="12">
        <v>0</v>
      </c>
    </row>
    <row r="10" spans="2:9" ht="15" customHeight="1" x14ac:dyDescent="0.2">
      <c r="B10" t="s">
        <v>79</v>
      </c>
      <c r="C10" s="12">
        <v>34</v>
      </c>
      <c r="D10" s="8">
        <v>0.81</v>
      </c>
      <c r="E10" s="12">
        <v>5</v>
      </c>
      <c r="F10" s="8">
        <v>0.23</v>
      </c>
      <c r="G10" s="12">
        <v>29</v>
      </c>
      <c r="H10" s="8">
        <v>1.47</v>
      </c>
      <c r="I10" s="12">
        <v>0</v>
      </c>
    </row>
    <row r="11" spans="2:9" ht="15" customHeight="1" x14ac:dyDescent="0.2">
      <c r="B11" t="s">
        <v>80</v>
      </c>
      <c r="C11" s="12">
        <v>863</v>
      </c>
      <c r="D11" s="8">
        <v>20.53</v>
      </c>
      <c r="E11" s="12">
        <v>374</v>
      </c>
      <c r="F11" s="8">
        <v>16.940000000000001</v>
      </c>
      <c r="G11" s="12">
        <v>488</v>
      </c>
      <c r="H11" s="8">
        <v>24.78</v>
      </c>
      <c r="I11" s="12">
        <v>1</v>
      </c>
    </row>
    <row r="12" spans="2:9" ht="15" customHeight="1" x14ac:dyDescent="0.2">
      <c r="B12" t="s">
        <v>81</v>
      </c>
      <c r="C12" s="12">
        <v>20</v>
      </c>
      <c r="D12" s="8">
        <v>0.48</v>
      </c>
      <c r="E12" s="12">
        <v>3</v>
      </c>
      <c r="F12" s="8">
        <v>0.14000000000000001</v>
      </c>
      <c r="G12" s="12">
        <v>17</v>
      </c>
      <c r="H12" s="8">
        <v>0.86</v>
      </c>
      <c r="I12" s="12">
        <v>0</v>
      </c>
    </row>
    <row r="13" spans="2:9" ht="15" customHeight="1" x14ac:dyDescent="0.2">
      <c r="B13" t="s">
        <v>82</v>
      </c>
      <c r="C13" s="12">
        <v>392</v>
      </c>
      <c r="D13" s="8">
        <v>9.32</v>
      </c>
      <c r="E13" s="12">
        <v>138</v>
      </c>
      <c r="F13" s="8">
        <v>6.25</v>
      </c>
      <c r="G13" s="12">
        <v>254</v>
      </c>
      <c r="H13" s="8">
        <v>12.9</v>
      </c>
      <c r="I13" s="12">
        <v>0</v>
      </c>
    </row>
    <row r="14" spans="2:9" ht="15" customHeight="1" x14ac:dyDescent="0.2">
      <c r="B14" t="s">
        <v>83</v>
      </c>
      <c r="C14" s="12">
        <v>231</v>
      </c>
      <c r="D14" s="8">
        <v>5.49</v>
      </c>
      <c r="E14" s="12">
        <v>120</v>
      </c>
      <c r="F14" s="8">
        <v>5.43</v>
      </c>
      <c r="G14" s="12">
        <v>108</v>
      </c>
      <c r="H14" s="8">
        <v>5.49</v>
      </c>
      <c r="I14" s="12">
        <v>0</v>
      </c>
    </row>
    <row r="15" spans="2:9" ht="15" customHeight="1" x14ac:dyDescent="0.2">
      <c r="B15" t="s">
        <v>84</v>
      </c>
      <c r="C15" s="12">
        <v>486</v>
      </c>
      <c r="D15" s="8">
        <v>11.56</v>
      </c>
      <c r="E15" s="12">
        <v>423</v>
      </c>
      <c r="F15" s="8">
        <v>19.16</v>
      </c>
      <c r="G15" s="12">
        <v>63</v>
      </c>
      <c r="H15" s="8">
        <v>3.2</v>
      </c>
      <c r="I15" s="12">
        <v>0</v>
      </c>
    </row>
    <row r="16" spans="2:9" ht="15" customHeight="1" x14ac:dyDescent="0.2">
      <c r="B16" t="s">
        <v>85</v>
      </c>
      <c r="C16" s="12">
        <v>641</v>
      </c>
      <c r="D16" s="8">
        <v>15.25</v>
      </c>
      <c r="E16" s="12">
        <v>521</v>
      </c>
      <c r="F16" s="8">
        <v>23.6</v>
      </c>
      <c r="G16" s="12">
        <v>120</v>
      </c>
      <c r="H16" s="8">
        <v>6.09</v>
      </c>
      <c r="I16" s="12">
        <v>0</v>
      </c>
    </row>
    <row r="17" spans="2:9" ht="15" customHeight="1" x14ac:dyDescent="0.2">
      <c r="B17" t="s">
        <v>86</v>
      </c>
      <c r="C17" s="12">
        <v>189</v>
      </c>
      <c r="D17" s="8">
        <v>4.5</v>
      </c>
      <c r="E17" s="12">
        <v>124</v>
      </c>
      <c r="F17" s="8">
        <v>5.62</v>
      </c>
      <c r="G17" s="12">
        <v>49</v>
      </c>
      <c r="H17" s="8">
        <v>2.4900000000000002</v>
      </c>
      <c r="I17" s="12">
        <v>0</v>
      </c>
    </row>
    <row r="18" spans="2:9" ht="15" customHeight="1" x14ac:dyDescent="0.2">
      <c r="B18" t="s">
        <v>87</v>
      </c>
      <c r="C18" s="12">
        <v>203</v>
      </c>
      <c r="D18" s="8">
        <v>4.83</v>
      </c>
      <c r="E18" s="12">
        <v>149</v>
      </c>
      <c r="F18" s="8">
        <v>6.75</v>
      </c>
      <c r="G18" s="12">
        <v>51</v>
      </c>
      <c r="H18" s="8">
        <v>2.59</v>
      </c>
      <c r="I18" s="12">
        <v>0</v>
      </c>
    </row>
    <row r="19" spans="2:9" ht="15" customHeight="1" x14ac:dyDescent="0.2">
      <c r="B19" t="s">
        <v>88</v>
      </c>
      <c r="C19" s="12">
        <v>164</v>
      </c>
      <c r="D19" s="8">
        <v>3.9</v>
      </c>
      <c r="E19" s="12">
        <v>60</v>
      </c>
      <c r="F19" s="8">
        <v>2.72</v>
      </c>
      <c r="G19" s="12">
        <v>101</v>
      </c>
      <c r="H19" s="8">
        <v>5.13</v>
      </c>
      <c r="I19" s="12">
        <v>1</v>
      </c>
    </row>
    <row r="20" spans="2:9" ht="15" customHeight="1" x14ac:dyDescent="0.2">
      <c r="B20" s="9" t="s">
        <v>269</v>
      </c>
      <c r="C20" s="12">
        <f>SUM(LTBL_11214[総数／事業所数])</f>
        <v>4204</v>
      </c>
      <c r="E20" s="12">
        <f>SUBTOTAL(109,LTBL_11214[個人／事業所数])</f>
        <v>2208</v>
      </c>
      <c r="G20" s="12">
        <f>SUBTOTAL(109,LTBL_11214[法人／事業所数])</f>
        <v>1969</v>
      </c>
      <c r="I20" s="12">
        <f>SUBTOTAL(109,LTBL_11214[法人以外の団体／事業所数])</f>
        <v>2</v>
      </c>
    </row>
    <row r="21" spans="2:9" ht="15" customHeight="1" x14ac:dyDescent="0.2">
      <c r="E21" s="11">
        <f>LTBL_11214[[#Totals],[個人／事業所数]]/LTBL_11214[[#Totals],[総数／事業所数]]</f>
        <v>0.5252140818268316</v>
      </c>
      <c r="G21" s="11">
        <f>LTBL_11214[[#Totals],[法人／事業所数]]/LTBL_11214[[#Totals],[総数／事業所数]]</f>
        <v>0.46836346336822077</v>
      </c>
      <c r="I21" s="11">
        <f>LTBL_11214[[#Totals],[法人以外の団体／事業所数]]/LTBL_11214[[#Totals],[総数／事業所数]]</f>
        <v>4.7573739295908661E-4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521</v>
      </c>
      <c r="D24" s="8">
        <v>12.39</v>
      </c>
      <c r="E24" s="12">
        <v>448</v>
      </c>
      <c r="F24" s="8">
        <v>20.29</v>
      </c>
      <c r="G24" s="12">
        <v>73</v>
      </c>
      <c r="H24" s="8">
        <v>3.71</v>
      </c>
      <c r="I24" s="12">
        <v>0</v>
      </c>
    </row>
    <row r="25" spans="2:9" ht="15" customHeight="1" x14ac:dyDescent="0.2">
      <c r="B25" t="s">
        <v>111</v>
      </c>
      <c r="C25" s="12">
        <v>452</v>
      </c>
      <c r="D25" s="8">
        <v>10.75</v>
      </c>
      <c r="E25" s="12">
        <v>415</v>
      </c>
      <c r="F25" s="8">
        <v>18.8</v>
      </c>
      <c r="G25" s="12">
        <v>37</v>
      </c>
      <c r="H25" s="8">
        <v>1.88</v>
      </c>
      <c r="I25" s="12">
        <v>0</v>
      </c>
    </row>
    <row r="26" spans="2:9" ht="15" customHeight="1" x14ac:dyDescent="0.2">
      <c r="B26" t="s">
        <v>108</v>
      </c>
      <c r="C26" s="12">
        <v>314</v>
      </c>
      <c r="D26" s="8">
        <v>7.47</v>
      </c>
      <c r="E26" s="12">
        <v>135</v>
      </c>
      <c r="F26" s="8">
        <v>6.11</v>
      </c>
      <c r="G26" s="12">
        <v>179</v>
      </c>
      <c r="H26" s="8">
        <v>9.09</v>
      </c>
      <c r="I26" s="12">
        <v>0</v>
      </c>
    </row>
    <row r="27" spans="2:9" ht="15" customHeight="1" x14ac:dyDescent="0.2">
      <c r="B27" t="s">
        <v>106</v>
      </c>
      <c r="C27" s="12">
        <v>247</v>
      </c>
      <c r="D27" s="8">
        <v>5.88</v>
      </c>
      <c r="E27" s="12">
        <v>115</v>
      </c>
      <c r="F27" s="8">
        <v>5.21</v>
      </c>
      <c r="G27" s="12">
        <v>132</v>
      </c>
      <c r="H27" s="8">
        <v>6.7</v>
      </c>
      <c r="I27" s="12">
        <v>0</v>
      </c>
    </row>
    <row r="28" spans="2:9" ht="15" customHeight="1" x14ac:dyDescent="0.2">
      <c r="B28" t="s">
        <v>97</v>
      </c>
      <c r="C28" s="12">
        <v>242</v>
      </c>
      <c r="D28" s="8">
        <v>5.76</v>
      </c>
      <c r="E28" s="12">
        <v>60</v>
      </c>
      <c r="F28" s="8">
        <v>2.72</v>
      </c>
      <c r="G28" s="12">
        <v>182</v>
      </c>
      <c r="H28" s="8">
        <v>9.24</v>
      </c>
      <c r="I28" s="12">
        <v>0</v>
      </c>
    </row>
    <row r="29" spans="2:9" ht="15" customHeight="1" x14ac:dyDescent="0.2">
      <c r="B29" t="s">
        <v>114</v>
      </c>
      <c r="C29" s="12">
        <v>189</v>
      </c>
      <c r="D29" s="8">
        <v>4.5</v>
      </c>
      <c r="E29" s="12">
        <v>124</v>
      </c>
      <c r="F29" s="8">
        <v>5.62</v>
      </c>
      <c r="G29" s="12">
        <v>49</v>
      </c>
      <c r="H29" s="8">
        <v>2.4900000000000002</v>
      </c>
      <c r="I29" s="12">
        <v>0</v>
      </c>
    </row>
    <row r="30" spans="2:9" ht="15" customHeight="1" x14ac:dyDescent="0.2">
      <c r="B30" t="s">
        <v>98</v>
      </c>
      <c r="C30" s="12">
        <v>183</v>
      </c>
      <c r="D30" s="8">
        <v>4.3499999999999996</v>
      </c>
      <c r="E30" s="12">
        <v>72</v>
      </c>
      <c r="F30" s="8">
        <v>3.26</v>
      </c>
      <c r="G30" s="12">
        <v>111</v>
      </c>
      <c r="H30" s="8">
        <v>5.64</v>
      </c>
      <c r="I30" s="12">
        <v>0</v>
      </c>
    </row>
    <row r="31" spans="2:9" ht="15" customHeight="1" x14ac:dyDescent="0.2">
      <c r="B31" t="s">
        <v>115</v>
      </c>
      <c r="C31" s="12">
        <v>165</v>
      </c>
      <c r="D31" s="8">
        <v>3.92</v>
      </c>
      <c r="E31" s="12">
        <v>148</v>
      </c>
      <c r="F31" s="8">
        <v>6.7</v>
      </c>
      <c r="G31" s="12">
        <v>17</v>
      </c>
      <c r="H31" s="8">
        <v>0.86</v>
      </c>
      <c r="I31" s="12">
        <v>0</v>
      </c>
    </row>
    <row r="32" spans="2:9" ht="15" customHeight="1" x14ac:dyDescent="0.2">
      <c r="B32" t="s">
        <v>104</v>
      </c>
      <c r="C32" s="12">
        <v>150</v>
      </c>
      <c r="D32" s="8">
        <v>3.57</v>
      </c>
      <c r="E32" s="12">
        <v>118</v>
      </c>
      <c r="F32" s="8">
        <v>5.34</v>
      </c>
      <c r="G32" s="12">
        <v>32</v>
      </c>
      <c r="H32" s="8">
        <v>1.63</v>
      </c>
      <c r="I32" s="12">
        <v>0</v>
      </c>
    </row>
    <row r="33" spans="2:9" ht="15" customHeight="1" x14ac:dyDescent="0.2">
      <c r="B33" t="s">
        <v>105</v>
      </c>
      <c r="C33" s="12">
        <v>137</v>
      </c>
      <c r="D33" s="8">
        <v>3.26</v>
      </c>
      <c r="E33" s="12">
        <v>62</v>
      </c>
      <c r="F33" s="8">
        <v>2.81</v>
      </c>
      <c r="G33" s="12">
        <v>75</v>
      </c>
      <c r="H33" s="8">
        <v>3.81</v>
      </c>
      <c r="I33" s="12">
        <v>0</v>
      </c>
    </row>
    <row r="34" spans="2:9" ht="15" customHeight="1" x14ac:dyDescent="0.2">
      <c r="B34" t="s">
        <v>109</v>
      </c>
      <c r="C34" s="12">
        <v>133</v>
      </c>
      <c r="D34" s="8">
        <v>3.16</v>
      </c>
      <c r="E34" s="12">
        <v>90</v>
      </c>
      <c r="F34" s="8">
        <v>4.08</v>
      </c>
      <c r="G34" s="12">
        <v>43</v>
      </c>
      <c r="H34" s="8">
        <v>2.1800000000000002</v>
      </c>
      <c r="I34" s="12">
        <v>0</v>
      </c>
    </row>
    <row r="35" spans="2:9" ht="15" customHeight="1" x14ac:dyDescent="0.2">
      <c r="B35" t="s">
        <v>99</v>
      </c>
      <c r="C35" s="12">
        <v>127</v>
      </c>
      <c r="D35" s="8">
        <v>3.02</v>
      </c>
      <c r="E35" s="12">
        <v>23</v>
      </c>
      <c r="F35" s="8">
        <v>1.04</v>
      </c>
      <c r="G35" s="12">
        <v>104</v>
      </c>
      <c r="H35" s="8">
        <v>5.28</v>
      </c>
      <c r="I35" s="12">
        <v>0</v>
      </c>
    </row>
    <row r="36" spans="2:9" ht="15" customHeight="1" x14ac:dyDescent="0.2">
      <c r="B36" t="s">
        <v>113</v>
      </c>
      <c r="C36" s="12">
        <v>93</v>
      </c>
      <c r="D36" s="8">
        <v>2.21</v>
      </c>
      <c r="E36" s="12">
        <v>58</v>
      </c>
      <c r="F36" s="8">
        <v>2.63</v>
      </c>
      <c r="G36" s="12">
        <v>35</v>
      </c>
      <c r="H36" s="8">
        <v>1.78</v>
      </c>
      <c r="I36" s="12">
        <v>0</v>
      </c>
    </row>
    <row r="37" spans="2:9" ht="15" customHeight="1" x14ac:dyDescent="0.2">
      <c r="B37" t="s">
        <v>103</v>
      </c>
      <c r="C37" s="12">
        <v>92</v>
      </c>
      <c r="D37" s="8">
        <v>2.19</v>
      </c>
      <c r="E37" s="12">
        <v>45</v>
      </c>
      <c r="F37" s="8">
        <v>2.04</v>
      </c>
      <c r="G37" s="12">
        <v>47</v>
      </c>
      <c r="H37" s="8">
        <v>2.39</v>
      </c>
      <c r="I37" s="12">
        <v>0</v>
      </c>
    </row>
    <row r="38" spans="2:9" ht="15" customHeight="1" x14ac:dyDescent="0.2">
      <c r="B38" t="s">
        <v>110</v>
      </c>
      <c r="C38" s="12">
        <v>92</v>
      </c>
      <c r="D38" s="8">
        <v>2.19</v>
      </c>
      <c r="E38" s="12">
        <v>30</v>
      </c>
      <c r="F38" s="8">
        <v>1.36</v>
      </c>
      <c r="G38" s="12">
        <v>59</v>
      </c>
      <c r="H38" s="8">
        <v>3</v>
      </c>
      <c r="I38" s="12">
        <v>0</v>
      </c>
    </row>
    <row r="39" spans="2:9" ht="15" customHeight="1" x14ac:dyDescent="0.2">
      <c r="B39" t="s">
        <v>116</v>
      </c>
      <c r="C39" s="12">
        <v>69</v>
      </c>
      <c r="D39" s="8">
        <v>1.64</v>
      </c>
      <c r="E39" s="12">
        <v>47</v>
      </c>
      <c r="F39" s="8">
        <v>2.13</v>
      </c>
      <c r="G39" s="12">
        <v>22</v>
      </c>
      <c r="H39" s="8">
        <v>1.1200000000000001</v>
      </c>
      <c r="I39" s="12">
        <v>0</v>
      </c>
    </row>
    <row r="40" spans="2:9" ht="15" customHeight="1" x14ac:dyDescent="0.2">
      <c r="B40" t="s">
        <v>107</v>
      </c>
      <c r="C40" s="12">
        <v>68</v>
      </c>
      <c r="D40" s="8">
        <v>1.62</v>
      </c>
      <c r="E40" s="12">
        <v>3</v>
      </c>
      <c r="F40" s="8">
        <v>0.14000000000000001</v>
      </c>
      <c r="G40" s="12">
        <v>65</v>
      </c>
      <c r="H40" s="8">
        <v>3.3</v>
      </c>
      <c r="I40" s="12">
        <v>0</v>
      </c>
    </row>
    <row r="41" spans="2:9" ht="15" customHeight="1" x14ac:dyDescent="0.2">
      <c r="B41" t="s">
        <v>117</v>
      </c>
      <c r="C41" s="12">
        <v>59</v>
      </c>
      <c r="D41" s="8">
        <v>1.4</v>
      </c>
      <c r="E41" s="12">
        <v>6</v>
      </c>
      <c r="F41" s="8">
        <v>0.27</v>
      </c>
      <c r="G41" s="12">
        <v>52</v>
      </c>
      <c r="H41" s="8">
        <v>2.64</v>
      </c>
      <c r="I41" s="12">
        <v>1</v>
      </c>
    </row>
    <row r="42" spans="2:9" ht="15" customHeight="1" x14ac:dyDescent="0.2">
      <c r="B42" t="s">
        <v>100</v>
      </c>
      <c r="C42" s="12">
        <v>56</v>
      </c>
      <c r="D42" s="8">
        <v>1.33</v>
      </c>
      <c r="E42" s="12">
        <v>16</v>
      </c>
      <c r="F42" s="8">
        <v>0.72</v>
      </c>
      <c r="G42" s="12">
        <v>40</v>
      </c>
      <c r="H42" s="8">
        <v>2.0299999999999998</v>
      </c>
      <c r="I42" s="12">
        <v>0</v>
      </c>
    </row>
    <row r="43" spans="2:9" ht="15" customHeight="1" x14ac:dyDescent="0.2">
      <c r="B43" t="s">
        <v>101</v>
      </c>
      <c r="C43" s="12">
        <v>53</v>
      </c>
      <c r="D43" s="8">
        <v>1.26</v>
      </c>
      <c r="E43" s="12">
        <v>9</v>
      </c>
      <c r="F43" s="8">
        <v>0.41</v>
      </c>
      <c r="G43" s="12">
        <v>44</v>
      </c>
      <c r="H43" s="8">
        <v>2.23</v>
      </c>
      <c r="I43" s="12">
        <v>0</v>
      </c>
    </row>
    <row r="44" spans="2:9" ht="15" customHeight="1" x14ac:dyDescent="0.2">
      <c r="B44" t="s">
        <v>102</v>
      </c>
      <c r="C44" s="12">
        <v>53</v>
      </c>
      <c r="D44" s="8">
        <v>1.26</v>
      </c>
      <c r="E44" s="12">
        <v>8</v>
      </c>
      <c r="F44" s="8">
        <v>0.36</v>
      </c>
      <c r="G44" s="12">
        <v>45</v>
      </c>
      <c r="H44" s="8">
        <v>2.29</v>
      </c>
      <c r="I44" s="12">
        <v>0</v>
      </c>
    </row>
    <row r="47" spans="2:9" ht="33" customHeight="1" x14ac:dyDescent="0.2">
      <c r="B47" t="s">
        <v>271</v>
      </c>
      <c r="C47" s="10" t="s">
        <v>90</v>
      </c>
      <c r="D47" s="10" t="s">
        <v>91</v>
      </c>
      <c r="E47" s="10" t="s">
        <v>92</v>
      </c>
      <c r="F47" s="10" t="s">
        <v>93</v>
      </c>
      <c r="G47" s="10" t="s">
        <v>94</v>
      </c>
      <c r="H47" s="10" t="s">
        <v>95</v>
      </c>
      <c r="I47" s="10" t="s">
        <v>96</v>
      </c>
    </row>
    <row r="48" spans="2:9" ht="15" customHeight="1" x14ac:dyDescent="0.2">
      <c r="B48" t="s">
        <v>173</v>
      </c>
      <c r="C48" s="12">
        <v>255</v>
      </c>
      <c r="D48" s="8">
        <v>6.07</v>
      </c>
      <c r="E48" s="12">
        <v>228</v>
      </c>
      <c r="F48" s="8">
        <v>10.33</v>
      </c>
      <c r="G48" s="12">
        <v>27</v>
      </c>
      <c r="H48" s="8">
        <v>1.37</v>
      </c>
      <c r="I48" s="12">
        <v>0</v>
      </c>
    </row>
    <row r="49" spans="2:9" ht="15" customHeight="1" x14ac:dyDescent="0.2">
      <c r="B49" t="s">
        <v>172</v>
      </c>
      <c r="C49" s="12">
        <v>181</v>
      </c>
      <c r="D49" s="8">
        <v>4.3099999999999996</v>
      </c>
      <c r="E49" s="12">
        <v>174</v>
      </c>
      <c r="F49" s="8">
        <v>7.88</v>
      </c>
      <c r="G49" s="12">
        <v>7</v>
      </c>
      <c r="H49" s="8">
        <v>0.36</v>
      </c>
      <c r="I49" s="12">
        <v>0</v>
      </c>
    </row>
    <row r="50" spans="2:9" ht="15" customHeight="1" x14ac:dyDescent="0.2">
      <c r="B50" t="s">
        <v>170</v>
      </c>
      <c r="C50" s="12">
        <v>162</v>
      </c>
      <c r="D50" s="8">
        <v>3.85</v>
      </c>
      <c r="E50" s="12">
        <v>155</v>
      </c>
      <c r="F50" s="8">
        <v>7.02</v>
      </c>
      <c r="G50" s="12">
        <v>7</v>
      </c>
      <c r="H50" s="8">
        <v>0.36</v>
      </c>
      <c r="I50" s="12">
        <v>0</v>
      </c>
    </row>
    <row r="51" spans="2:9" ht="15" customHeight="1" x14ac:dyDescent="0.2">
      <c r="B51" t="s">
        <v>167</v>
      </c>
      <c r="C51" s="12">
        <v>155</v>
      </c>
      <c r="D51" s="8">
        <v>3.69</v>
      </c>
      <c r="E51" s="12">
        <v>98</v>
      </c>
      <c r="F51" s="8">
        <v>4.4400000000000004</v>
      </c>
      <c r="G51" s="12">
        <v>57</v>
      </c>
      <c r="H51" s="8">
        <v>2.89</v>
      </c>
      <c r="I51" s="12">
        <v>0</v>
      </c>
    </row>
    <row r="52" spans="2:9" ht="15" customHeight="1" x14ac:dyDescent="0.2">
      <c r="B52" t="s">
        <v>175</v>
      </c>
      <c r="C52" s="12">
        <v>127</v>
      </c>
      <c r="D52" s="8">
        <v>3.02</v>
      </c>
      <c r="E52" s="12">
        <v>114</v>
      </c>
      <c r="F52" s="8">
        <v>5.16</v>
      </c>
      <c r="G52" s="12">
        <v>13</v>
      </c>
      <c r="H52" s="8">
        <v>0.66</v>
      </c>
      <c r="I52" s="12">
        <v>0</v>
      </c>
    </row>
    <row r="53" spans="2:9" ht="15" customHeight="1" x14ac:dyDescent="0.2">
      <c r="B53" t="s">
        <v>174</v>
      </c>
      <c r="C53" s="12">
        <v>125</v>
      </c>
      <c r="D53" s="8">
        <v>2.97</v>
      </c>
      <c r="E53" s="12">
        <v>93</v>
      </c>
      <c r="F53" s="8">
        <v>4.21</v>
      </c>
      <c r="G53" s="12">
        <v>32</v>
      </c>
      <c r="H53" s="8">
        <v>1.63</v>
      </c>
      <c r="I53" s="12">
        <v>0</v>
      </c>
    </row>
    <row r="54" spans="2:9" ht="15" customHeight="1" x14ac:dyDescent="0.2">
      <c r="B54" t="s">
        <v>169</v>
      </c>
      <c r="C54" s="12">
        <v>121</v>
      </c>
      <c r="D54" s="8">
        <v>2.88</v>
      </c>
      <c r="E54" s="12">
        <v>107</v>
      </c>
      <c r="F54" s="8">
        <v>4.8499999999999996</v>
      </c>
      <c r="G54" s="12">
        <v>14</v>
      </c>
      <c r="H54" s="8">
        <v>0.71</v>
      </c>
      <c r="I54" s="12">
        <v>0</v>
      </c>
    </row>
    <row r="55" spans="2:9" ht="15" customHeight="1" x14ac:dyDescent="0.2">
      <c r="B55" t="s">
        <v>166</v>
      </c>
      <c r="C55" s="12">
        <v>75</v>
      </c>
      <c r="D55" s="8">
        <v>1.78</v>
      </c>
      <c r="E55" s="12">
        <v>15</v>
      </c>
      <c r="F55" s="8">
        <v>0.68</v>
      </c>
      <c r="G55" s="12">
        <v>60</v>
      </c>
      <c r="H55" s="8">
        <v>3.05</v>
      </c>
      <c r="I55" s="12">
        <v>0</v>
      </c>
    </row>
    <row r="56" spans="2:9" ht="15" customHeight="1" x14ac:dyDescent="0.2">
      <c r="B56" t="s">
        <v>163</v>
      </c>
      <c r="C56" s="12">
        <v>72</v>
      </c>
      <c r="D56" s="8">
        <v>1.71</v>
      </c>
      <c r="E56" s="12">
        <v>27</v>
      </c>
      <c r="F56" s="8">
        <v>1.22</v>
      </c>
      <c r="G56" s="12">
        <v>45</v>
      </c>
      <c r="H56" s="8">
        <v>2.29</v>
      </c>
      <c r="I56" s="12">
        <v>0</v>
      </c>
    </row>
    <row r="57" spans="2:9" ht="15" customHeight="1" x14ac:dyDescent="0.2">
      <c r="B57" t="s">
        <v>185</v>
      </c>
      <c r="C57" s="12">
        <v>72</v>
      </c>
      <c r="D57" s="8">
        <v>1.71</v>
      </c>
      <c r="E57" s="12">
        <v>26</v>
      </c>
      <c r="F57" s="8">
        <v>1.18</v>
      </c>
      <c r="G57" s="12">
        <v>46</v>
      </c>
      <c r="H57" s="8">
        <v>2.34</v>
      </c>
      <c r="I57" s="12">
        <v>0</v>
      </c>
    </row>
    <row r="58" spans="2:9" ht="15" customHeight="1" x14ac:dyDescent="0.2">
      <c r="B58" t="s">
        <v>176</v>
      </c>
      <c r="C58" s="12">
        <v>69</v>
      </c>
      <c r="D58" s="8">
        <v>1.64</v>
      </c>
      <c r="E58" s="12">
        <v>47</v>
      </c>
      <c r="F58" s="8">
        <v>2.13</v>
      </c>
      <c r="G58" s="12">
        <v>22</v>
      </c>
      <c r="H58" s="8">
        <v>1.1200000000000001</v>
      </c>
      <c r="I58" s="12">
        <v>0</v>
      </c>
    </row>
    <row r="59" spans="2:9" ht="15" customHeight="1" x14ac:dyDescent="0.2">
      <c r="B59" t="s">
        <v>164</v>
      </c>
      <c r="C59" s="12">
        <v>66</v>
      </c>
      <c r="D59" s="8">
        <v>1.57</v>
      </c>
      <c r="E59" s="12">
        <v>36</v>
      </c>
      <c r="F59" s="8">
        <v>1.63</v>
      </c>
      <c r="G59" s="12">
        <v>30</v>
      </c>
      <c r="H59" s="8">
        <v>1.52</v>
      </c>
      <c r="I59" s="12">
        <v>0</v>
      </c>
    </row>
    <row r="60" spans="2:9" ht="15" customHeight="1" x14ac:dyDescent="0.2">
      <c r="B60" t="s">
        <v>159</v>
      </c>
      <c r="C60" s="12">
        <v>65</v>
      </c>
      <c r="D60" s="8">
        <v>1.55</v>
      </c>
      <c r="E60" s="12">
        <v>29</v>
      </c>
      <c r="F60" s="8">
        <v>1.31</v>
      </c>
      <c r="G60" s="12">
        <v>36</v>
      </c>
      <c r="H60" s="8">
        <v>1.83</v>
      </c>
      <c r="I60" s="12">
        <v>0</v>
      </c>
    </row>
    <row r="61" spans="2:9" ht="15" customHeight="1" x14ac:dyDescent="0.2">
      <c r="B61" t="s">
        <v>158</v>
      </c>
      <c r="C61" s="12">
        <v>62</v>
      </c>
      <c r="D61" s="8">
        <v>1.47</v>
      </c>
      <c r="E61" s="12">
        <v>8</v>
      </c>
      <c r="F61" s="8">
        <v>0.36</v>
      </c>
      <c r="G61" s="12">
        <v>54</v>
      </c>
      <c r="H61" s="8">
        <v>2.74</v>
      </c>
      <c r="I61" s="12">
        <v>0</v>
      </c>
    </row>
    <row r="62" spans="2:9" ht="15" customHeight="1" x14ac:dyDescent="0.2">
      <c r="B62" t="s">
        <v>178</v>
      </c>
      <c r="C62" s="12">
        <v>61</v>
      </c>
      <c r="D62" s="8">
        <v>1.45</v>
      </c>
      <c r="E62" s="12">
        <v>17</v>
      </c>
      <c r="F62" s="8">
        <v>0.77</v>
      </c>
      <c r="G62" s="12">
        <v>41</v>
      </c>
      <c r="H62" s="8">
        <v>2.08</v>
      </c>
      <c r="I62" s="12">
        <v>0</v>
      </c>
    </row>
    <row r="63" spans="2:9" ht="15" customHeight="1" x14ac:dyDescent="0.2">
      <c r="B63" t="s">
        <v>171</v>
      </c>
      <c r="C63" s="12">
        <v>61</v>
      </c>
      <c r="D63" s="8">
        <v>1.45</v>
      </c>
      <c r="E63" s="12">
        <v>35</v>
      </c>
      <c r="F63" s="8">
        <v>1.59</v>
      </c>
      <c r="G63" s="12">
        <v>26</v>
      </c>
      <c r="H63" s="8">
        <v>1.32</v>
      </c>
      <c r="I63" s="12">
        <v>0</v>
      </c>
    </row>
    <row r="64" spans="2:9" ht="15" customHeight="1" x14ac:dyDescent="0.2">
      <c r="B64" t="s">
        <v>162</v>
      </c>
      <c r="C64" s="12">
        <v>60</v>
      </c>
      <c r="D64" s="8">
        <v>1.43</v>
      </c>
      <c r="E64" s="12">
        <v>44</v>
      </c>
      <c r="F64" s="8">
        <v>1.99</v>
      </c>
      <c r="G64" s="12">
        <v>16</v>
      </c>
      <c r="H64" s="8">
        <v>0.81</v>
      </c>
      <c r="I64" s="12">
        <v>0</v>
      </c>
    </row>
    <row r="65" spans="2:9" ht="15" customHeight="1" x14ac:dyDescent="0.2">
      <c r="B65" t="s">
        <v>177</v>
      </c>
      <c r="C65" s="12">
        <v>57</v>
      </c>
      <c r="D65" s="8">
        <v>1.36</v>
      </c>
      <c r="E65" s="12">
        <v>16</v>
      </c>
      <c r="F65" s="8">
        <v>0.72</v>
      </c>
      <c r="G65" s="12">
        <v>41</v>
      </c>
      <c r="H65" s="8">
        <v>2.08</v>
      </c>
      <c r="I65" s="12">
        <v>0</v>
      </c>
    </row>
    <row r="66" spans="2:9" ht="15" customHeight="1" x14ac:dyDescent="0.2">
      <c r="B66" t="s">
        <v>161</v>
      </c>
      <c r="C66" s="12">
        <v>56</v>
      </c>
      <c r="D66" s="8">
        <v>1.33</v>
      </c>
      <c r="E66" s="12">
        <v>11</v>
      </c>
      <c r="F66" s="8">
        <v>0.5</v>
      </c>
      <c r="G66" s="12">
        <v>45</v>
      </c>
      <c r="H66" s="8">
        <v>2.29</v>
      </c>
      <c r="I66" s="12">
        <v>0</v>
      </c>
    </row>
    <row r="67" spans="2:9" ht="15" customHeight="1" x14ac:dyDescent="0.2">
      <c r="B67" t="s">
        <v>188</v>
      </c>
      <c r="C67" s="12">
        <v>54</v>
      </c>
      <c r="D67" s="8">
        <v>1.28</v>
      </c>
      <c r="E67" s="12">
        <v>40</v>
      </c>
      <c r="F67" s="8">
        <v>1.81</v>
      </c>
      <c r="G67" s="12">
        <v>14</v>
      </c>
      <c r="H67" s="8">
        <v>0.71</v>
      </c>
      <c r="I67" s="12">
        <v>0</v>
      </c>
    </row>
    <row r="69" spans="2:9" ht="15" customHeight="1" x14ac:dyDescent="0.2">
      <c r="B69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4735F-AFD1-4BB0-9DC9-C01F87BC0FB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295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391</v>
      </c>
      <c r="D6" s="8">
        <v>15.13</v>
      </c>
      <c r="E6" s="12">
        <v>99</v>
      </c>
      <c r="F6" s="8">
        <v>7.91</v>
      </c>
      <c r="G6" s="12">
        <v>292</v>
      </c>
      <c r="H6" s="8">
        <v>22.22</v>
      </c>
      <c r="I6" s="12">
        <v>0</v>
      </c>
    </row>
    <row r="7" spans="2:9" ht="15" customHeight="1" x14ac:dyDescent="0.2">
      <c r="B7" t="s">
        <v>76</v>
      </c>
      <c r="C7" s="12">
        <v>228</v>
      </c>
      <c r="D7" s="8">
        <v>8.82</v>
      </c>
      <c r="E7" s="12">
        <v>66</v>
      </c>
      <c r="F7" s="8">
        <v>5.28</v>
      </c>
      <c r="G7" s="12">
        <v>162</v>
      </c>
      <c r="H7" s="8">
        <v>12.33</v>
      </c>
      <c r="I7" s="12">
        <v>0</v>
      </c>
    </row>
    <row r="8" spans="2:9" ht="15" customHeight="1" x14ac:dyDescent="0.2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78</v>
      </c>
      <c r="C9" s="12">
        <v>32</v>
      </c>
      <c r="D9" s="8">
        <v>1.24</v>
      </c>
      <c r="E9" s="12">
        <v>1</v>
      </c>
      <c r="F9" s="8">
        <v>0.08</v>
      </c>
      <c r="G9" s="12">
        <v>30</v>
      </c>
      <c r="H9" s="8">
        <v>2.2799999999999998</v>
      </c>
      <c r="I9" s="12">
        <v>1</v>
      </c>
    </row>
    <row r="10" spans="2:9" ht="15" customHeight="1" x14ac:dyDescent="0.2">
      <c r="B10" t="s">
        <v>79</v>
      </c>
      <c r="C10" s="12">
        <v>28</v>
      </c>
      <c r="D10" s="8">
        <v>1.08</v>
      </c>
      <c r="E10" s="12">
        <v>2</v>
      </c>
      <c r="F10" s="8">
        <v>0.16</v>
      </c>
      <c r="G10" s="12">
        <v>26</v>
      </c>
      <c r="H10" s="8">
        <v>1.98</v>
      </c>
      <c r="I10" s="12">
        <v>0</v>
      </c>
    </row>
    <row r="11" spans="2:9" ht="15" customHeight="1" x14ac:dyDescent="0.2">
      <c r="B11" t="s">
        <v>80</v>
      </c>
      <c r="C11" s="12">
        <v>531</v>
      </c>
      <c r="D11" s="8">
        <v>20.55</v>
      </c>
      <c r="E11" s="12">
        <v>226</v>
      </c>
      <c r="F11" s="8">
        <v>18.07</v>
      </c>
      <c r="G11" s="12">
        <v>305</v>
      </c>
      <c r="H11" s="8">
        <v>23.21</v>
      </c>
      <c r="I11" s="12">
        <v>0</v>
      </c>
    </row>
    <row r="12" spans="2:9" ht="15" customHeight="1" x14ac:dyDescent="0.2">
      <c r="B12" t="s">
        <v>81</v>
      </c>
      <c r="C12" s="12">
        <v>13</v>
      </c>
      <c r="D12" s="8">
        <v>0.5</v>
      </c>
      <c r="E12" s="12">
        <v>2</v>
      </c>
      <c r="F12" s="8">
        <v>0.16</v>
      </c>
      <c r="G12" s="12">
        <v>11</v>
      </c>
      <c r="H12" s="8">
        <v>0.84</v>
      </c>
      <c r="I12" s="12">
        <v>0</v>
      </c>
    </row>
    <row r="13" spans="2:9" ht="15" customHeight="1" x14ac:dyDescent="0.2">
      <c r="B13" t="s">
        <v>82</v>
      </c>
      <c r="C13" s="12">
        <v>258</v>
      </c>
      <c r="D13" s="8">
        <v>9.98</v>
      </c>
      <c r="E13" s="12">
        <v>87</v>
      </c>
      <c r="F13" s="8">
        <v>6.95</v>
      </c>
      <c r="G13" s="12">
        <v>168</v>
      </c>
      <c r="H13" s="8">
        <v>12.79</v>
      </c>
      <c r="I13" s="12">
        <v>2</v>
      </c>
    </row>
    <row r="14" spans="2:9" ht="15" customHeight="1" x14ac:dyDescent="0.2">
      <c r="B14" t="s">
        <v>83</v>
      </c>
      <c r="C14" s="12">
        <v>146</v>
      </c>
      <c r="D14" s="8">
        <v>5.65</v>
      </c>
      <c r="E14" s="12">
        <v>75</v>
      </c>
      <c r="F14" s="8">
        <v>6</v>
      </c>
      <c r="G14" s="12">
        <v>70</v>
      </c>
      <c r="H14" s="8">
        <v>5.33</v>
      </c>
      <c r="I14" s="12">
        <v>1</v>
      </c>
    </row>
    <row r="15" spans="2:9" ht="15" customHeight="1" x14ac:dyDescent="0.2">
      <c r="B15" t="s">
        <v>84</v>
      </c>
      <c r="C15" s="12">
        <v>281</v>
      </c>
      <c r="D15" s="8">
        <v>10.87</v>
      </c>
      <c r="E15" s="12">
        <v>224</v>
      </c>
      <c r="F15" s="8">
        <v>17.91</v>
      </c>
      <c r="G15" s="12">
        <v>54</v>
      </c>
      <c r="H15" s="8">
        <v>4.1100000000000003</v>
      </c>
      <c r="I15" s="12">
        <v>0</v>
      </c>
    </row>
    <row r="16" spans="2:9" ht="15" customHeight="1" x14ac:dyDescent="0.2">
      <c r="B16" t="s">
        <v>85</v>
      </c>
      <c r="C16" s="12">
        <v>327</v>
      </c>
      <c r="D16" s="8">
        <v>12.65</v>
      </c>
      <c r="E16" s="12">
        <v>247</v>
      </c>
      <c r="F16" s="8">
        <v>19.739999999999998</v>
      </c>
      <c r="G16" s="12">
        <v>79</v>
      </c>
      <c r="H16" s="8">
        <v>6.01</v>
      </c>
      <c r="I16" s="12">
        <v>1</v>
      </c>
    </row>
    <row r="17" spans="2:9" ht="15" customHeight="1" x14ac:dyDescent="0.2">
      <c r="B17" t="s">
        <v>86</v>
      </c>
      <c r="C17" s="12">
        <v>110</v>
      </c>
      <c r="D17" s="8">
        <v>4.26</v>
      </c>
      <c r="E17" s="12">
        <v>90</v>
      </c>
      <c r="F17" s="8">
        <v>7.19</v>
      </c>
      <c r="G17" s="12">
        <v>17</v>
      </c>
      <c r="H17" s="8">
        <v>1.29</v>
      </c>
      <c r="I17" s="12">
        <v>1</v>
      </c>
    </row>
    <row r="18" spans="2:9" ht="15" customHeight="1" x14ac:dyDescent="0.2">
      <c r="B18" t="s">
        <v>87</v>
      </c>
      <c r="C18" s="12">
        <v>151</v>
      </c>
      <c r="D18" s="8">
        <v>5.84</v>
      </c>
      <c r="E18" s="12">
        <v>97</v>
      </c>
      <c r="F18" s="8">
        <v>7.75</v>
      </c>
      <c r="G18" s="12">
        <v>49</v>
      </c>
      <c r="H18" s="8">
        <v>3.73</v>
      </c>
      <c r="I18" s="12">
        <v>1</v>
      </c>
    </row>
    <row r="19" spans="2:9" ht="15" customHeight="1" x14ac:dyDescent="0.2">
      <c r="B19" t="s">
        <v>88</v>
      </c>
      <c r="C19" s="12">
        <v>88</v>
      </c>
      <c r="D19" s="8">
        <v>3.41</v>
      </c>
      <c r="E19" s="12">
        <v>35</v>
      </c>
      <c r="F19" s="8">
        <v>2.8</v>
      </c>
      <c r="G19" s="12">
        <v>51</v>
      </c>
      <c r="H19" s="8">
        <v>3.88</v>
      </c>
      <c r="I19" s="12">
        <v>0</v>
      </c>
    </row>
    <row r="20" spans="2:9" ht="15" customHeight="1" x14ac:dyDescent="0.2">
      <c r="B20" s="9" t="s">
        <v>269</v>
      </c>
      <c r="C20" s="12">
        <f>SUM(LTBL_11215[総数／事業所数])</f>
        <v>2584</v>
      </c>
      <c r="E20" s="12">
        <f>SUBTOTAL(109,LTBL_11215[個人／事業所数])</f>
        <v>1251</v>
      </c>
      <c r="G20" s="12">
        <f>SUBTOTAL(109,LTBL_11215[法人／事業所数])</f>
        <v>1314</v>
      </c>
      <c r="I20" s="12">
        <f>SUBTOTAL(109,LTBL_11215[法人以外の団体／事業所数])</f>
        <v>7</v>
      </c>
    </row>
    <row r="21" spans="2:9" ht="15" customHeight="1" x14ac:dyDescent="0.2">
      <c r="E21" s="11">
        <f>LTBL_11215[[#Totals],[個人／事業所数]]/LTBL_11215[[#Totals],[総数／事業所数]]</f>
        <v>0.4841331269349845</v>
      </c>
      <c r="G21" s="11">
        <f>LTBL_11215[[#Totals],[法人／事業所数]]/LTBL_11215[[#Totals],[総数／事業所数]]</f>
        <v>0.50851393188854488</v>
      </c>
      <c r="I21" s="11">
        <f>LTBL_11215[[#Totals],[法人以外の団体／事業所数]]/LTBL_11215[[#Totals],[総数／事業所数]]</f>
        <v>2.7089783281733747E-3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266</v>
      </c>
      <c r="D24" s="8">
        <v>10.29</v>
      </c>
      <c r="E24" s="12">
        <v>219</v>
      </c>
      <c r="F24" s="8">
        <v>17.510000000000002</v>
      </c>
      <c r="G24" s="12">
        <v>47</v>
      </c>
      <c r="H24" s="8">
        <v>3.58</v>
      </c>
      <c r="I24" s="12">
        <v>0</v>
      </c>
    </row>
    <row r="25" spans="2:9" ht="15" customHeight="1" x14ac:dyDescent="0.2">
      <c r="B25" t="s">
        <v>111</v>
      </c>
      <c r="C25" s="12">
        <v>258</v>
      </c>
      <c r="D25" s="8">
        <v>9.98</v>
      </c>
      <c r="E25" s="12">
        <v>220</v>
      </c>
      <c r="F25" s="8">
        <v>17.59</v>
      </c>
      <c r="G25" s="12">
        <v>38</v>
      </c>
      <c r="H25" s="8">
        <v>2.89</v>
      </c>
      <c r="I25" s="12">
        <v>0</v>
      </c>
    </row>
    <row r="26" spans="2:9" ht="15" customHeight="1" x14ac:dyDescent="0.2">
      <c r="B26" t="s">
        <v>108</v>
      </c>
      <c r="C26" s="12">
        <v>218</v>
      </c>
      <c r="D26" s="8">
        <v>8.44</v>
      </c>
      <c r="E26" s="12">
        <v>84</v>
      </c>
      <c r="F26" s="8">
        <v>6.71</v>
      </c>
      <c r="G26" s="12">
        <v>131</v>
      </c>
      <c r="H26" s="8">
        <v>9.9700000000000006</v>
      </c>
      <c r="I26" s="12">
        <v>2</v>
      </c>
    </row>
    <row r="27" spans="2:9" ht="15" customHeight="1" x14ac:dyDescent="0.2">
      <c r="B27" t="s">
        <v>97</v>
      </c>
      <c r="C27" s="12">
        <v>151</v>
      </c>
      <c r="D27" s="8">
        <v>5.84</v>
      </c>
      <c r="E27" s="12">
        <v>34</v>
      </c>
      <c r="F27" s="8">
        <v>2.72</v>
      </c>
      <c r="G27" s="12">
        <v>117</v>
      </c>
      <c r="H27" s="8">
        <v>8.9</v>
      </c>
      <c r="I27" s="12">
        <v>0</v>
      </c>
    </row>
    <row r="28" spans="2:9" ht="15" customHeight="1" x14ac:dyDescent="0.2">
      <c r="B28" t="s">
        <v>104</v>
      </c>
      <c r="C28" s="12">
        <v>140</v>
      </c>
      <c r="D28" s="8">
        <v>5.42</v>
      </c>
      <c r="E28" s="12">
        <v>91</v>
      </c>
      <c r="F28" s="8">
        <v>7.27</v>
      </c>
      <c r="G28" s="12">
        <v>49</v>
      </c>
      <c r="H28" s="8">
        <v>3.73</v>
      </c>
      <c r="I28" s="12">
        <v>0</v>
      </c>
    </row>
    <row r="29" spans="2:9" ht="15" customHeight="1" x14ac:dyDescent="0.2">
      <c r="B29" t="s">
        <v>106</v>
      </c>
      <c r="C29" s="12">
        <v>129</v>
      </c>
      <c r="D29" s="8">
        <v>4.99</v>
      </c>
      <c r="E29" s="12">
        <v>50</v>
      </c>
      <c r="F29" s="8">
        <v>4</v>
      </c>
      <c r="G29" s="12">
        <v>79</v>
      </c>
      <c r="H29" s="8">
        <v>6.01</v>
      </c>
      <c r="I29" s="12">
        <v>0</v>
      </c>
    </row>
    <row r="30" spans="2:9" ht="15" customHeight="1" x14ac:dyDescent="0.2">
      <c r="B30" t="s">
        <v>98</v>
      </c>
      <c r="C30" s="12">
        <v>123</v>
      </c>
      <c r="D30" s="8">
        <v>4.76</v>
      </c>
      <c r="E30" s="12">
        <v>42</v>
      </c>
      <c r="F30" s="8">
        <v>3.36</v>
      </c>
      <c r="G30" s="12">
        <v>81</v>
      </c>
      <c r="H30" s="8">
        <v>6.16</v>
      </c>
      <c r="I30" s="12">
        <v>0</v>
      </c>
    </row>
    <row r="31" spans="2:9" ht="15" customHeight="1" x14ac:dyDescent="0.2">
      <c r="B31" t="s">
        <v>99</v>
      </c>
      <c r="C31" s="12">
        <v>117</v>
      </c>
      <c r="D31" s="8">
        <v>4.53</v>
      </c>
      <c r="E31" s="12">
        <v>23</v>
      </c>
      <c r="F31" s="8">
        <v>1.84</v>
      </c>
      <c r="G31" s="12">
        <v>94</v>
      </c>
      <c r="H31" s="8">
        <v>7.15</v>
      </c>
      <c r="I31" s="12">
        <v>0</v>
      </c>
    </row>
    <row r="32" spans="2:9" ht="15" customHeight="1" x14ac:dyDescent="0.2">
      <c r="B32" t="s">
        <v>115</v>
      </c>
      <c r="C32" s="12">
        <v>112</v>
      </c>
      <c r="D32" s="8">
        <v>4.33</v>
      </c>
      <c r="E32" s="12">
        <v>97</v>
      </c>
      <c r="F32" s="8">
        <v>7.75</v>
      </c>
      <c r="G32" s="12">
        <v>14</v>
      </c>
      <c r="H32" s="8">
        <v>1.07</v>
      </c>
      <c r="I32" s="12">
        <v>1</v>
      </c>
    </row>
    <row r="33" spans="2:9" ht="15" customHeight="1" x14ac:dyDescent="0.2">
      <c r="B33" t="s">
        <v>114</v>
      </c>
      <c r="C33" s="12">
        <v>110</v>
      </c>
      <c r="D33" s="8">
        <v>4.26</v>
      </c>
      <c r="E33" s="12">
        <v>90</v>
      </c>
      <c r="F33" s="8">
        <v>7.19</v>
      </c>
      <c r="G33" s="12">
        <v>17</v>
      </c>
      <c r="H33" s="8">
        <v>1.29</v>
      </c>
      <c r="I33" s="12">
        <v>1</v>
      </c>
    </row>
    <row r="34" spans="2:9" ht="15" customHeight="1" x14ac:dyDescent="0.2">
      <c r="B34" t="s">
        <v>109</v>
      </c>
      <c r="C34" s="12">
        <v>76</v>
      </c>
      <c r="D34" s="8">
        <v>2.94</v>
      </c>
      <c r="E34" s="12">
        <v>50</v>
      </c>
      <c r="F34" s="8">
        <v>4</v>
      </c>
      <c r="G34" s="12">
        <v>25</v>
      </c>
      <c r="H34" s="8">
        <v>1.9</v>
      </c>
      <c r="I34" s="12">
        <v>1</v>
      </c>
    </row>
    <row r="35" spans="2:9" ht="15" customHeight="1" x14ac:dyDescent="0.2">
      <c r="B35" t="s">
        <v>105</v>
      </c>
      <c r="C35" s="12">
        <v>75</v>
      </c>
      <c r="D35" s="8">
        <v>2.9</v>
      </c>
      <c r="E35" s="12">
        <v>33</v>
      </c>
      <c r="F35" s="8">
        <v>2.64</v>
      </c>
      <c r="G35" s="12">
        <v>42</v>
      </c>
      <c r="H35" s="8">
        <v>3.2</v>
      </c>
      <c r="I35" s="12">
        <v>0</v>
      </c>
    </row>
    <row r="36" spans="2:9" ht="15" customHeight="1" x14ac:dyDescent="0.2">
      <c r="B36" t="s">
        <v>110</v>
      </c>
      <c r="C36" s="12">
        <v>65</v>
      </c>
      <c r="D36" s="8">
        <v>2.52</v>
      </c>
      <c r="E36" s="12">
        <v>24</v>
      </c>
      <c r="F36" s="8">
        <v>1.92</v>
      </c>
      <c r="G36" s="12">
        <v>41</v>
      </c>
      <c r="H36" s="8">
        <v>3.12</v>
      </c>
      <c r="I36" s="12">
        <v>0</v>
      </c>
    </row>
    <row r="37" spans="2:9" ht="15" customHeight="1" x14ac:dyDescent="0.2">
      <c r="B37" t="s">
        <v>103</v>
      </c>
      <c r="C37" s="12">
        <v>51</v>
      </c>
      <c r="D37" s="8">
        <v>1.97</v>
      </c>
      <c r="E37" s="12">
        <v>27</v>
      </c>
      <c r="F37" s="8">
        <v>2.16</v>
      </c>
      <c r="G37" s="12">
        <v>24</v>
      </c>
      <c r="H37" s="8">
        <v>1.83</v>
      </c>
      <c r="I37" s="12">
        <v>0</v>
      </c>
    </row>
    <row r="38" spans="2:9" ht="15" customHeight="1" x14ac:dyDescent="0.2">
      <c r="B38" t="s">
        <v>113</v>
      </c>
      <c r="C38" s="12">
        <v>45</v>
      </c>
      <c r="D38" s="8">
        <v>1.74</v>
      </c>
      <c r="E38" s="12">
        <v>21</v>
      </c>
      <c r="F38" s="8">
        <v>1.68</v>
      </c>
      <c r="G38" s="12">
        <v>23</v>
      </c>
      <c r="H38" s="8">
        <v>1.75</v>
      </c>
      <c r="I38" s="12">
        <v>1</v>
      </c>
    </row>
    <row r="39" spans="2:9" ht="15" customHeight="1" x14ac:dyDescent="0.2">
      <c r="B39" t="s">
        <v>118</v>
      </c>
      <c r="C39" s="12">
        <v>39</v>
      </c>
      <c r="D39" s="8">
        <v>1.51</v>
      </c>
      <c r="E39" s="12">
        <v>0</v>
      </c>
      <c r="F39" s="8">
        <v>0</v>
      </c>
      <c r="G39" s="12">
        <v>35</v>
      </c>
      <c r="H39" s="8">
        <v>2.66</v>
      </c>
      <c r="I39" s="12">
        <v>0</v>
      </c>
    </row>
    <row r="40" spans="2:9" ht="15" customHeight="1" x14ac:dyDescent="0.2">
      <c r="B40" t="s">
        <v>116</v>
      </c>
      <c r="C40" s="12">
        <v>38</v>
      </c>
      <c r="D40" s="8">
        <v>1.47</v>
      </c>
      <c r="E40" s="12">
        <v>21</v>
      </c>
      <c r="F40" s="8">
        <v>1.68</v>
      </c>
      <c r="G40" s="12">
        <v>17</v>
      </c>
      <c r="H40" s="8">
        <v>1.29</v>
      </c>
      <c r="I40" s="12">
        <v>0</v>
      </c>
    </row>
    <row r="41" spans="2:9" ht="15" customHeight="1" x14ac:dyDescent="0.2">
      <c r="B41" t="s">
        <v>101</v>
      </c>
      <c r="C41" s="12">
        <v>33</v>
      </c>
      <c r="D41" s="8">
        <v>1.28</v>
      </c>
      <c r="E41" s="12">
        <v>9</v>
      </c>
      <c r="F41" s="8">
        <v>0.72</v>
      </c>
      <c r="G41" s="12">
        <v>24</v>
      </c>
      <c r="H41" s="8">
        <v>1.83</v>
      </c>
      <c r="I41" s="12">
        <v>0</v>
      </c>
    </row>
    <row r="42" spans="2:9" ht="15" customHeight="1" x14ac:dyDescent="0.2">
      <c r="B42" t="s">
        <v>107</v>
      </c>
      <c r="C42" s="12">
        <v>33</v>
      </c>
      <c r="D42" s="8">
        <v>1.28</v>
      </c>
      <c r="E42" s="12">
        <v>3</v>
      </c>
      <c r="F42" s="8">
        <v>0.24</v>
      </c>
      <c r="G42" s="12">
        <v>30</v>
      </c>
      <c r="H42" s="8">
        <v>2.2799999999999998</v>
      </c>
      <c r="I42" s="12">
        <v>0</v>
      </c>
    </row>
    <row r="43" spans="2:9" ht="15" customHeight="1" x14ac:dyDescent="0.2">
      <c r="B43" t="s">
        <v>102</v>
      </c>
      <c r="C43" s="12">
        <v>28</v>
      </c>
      <c r="D43" s="8">
        <v>1.08</v>
      </c>
      <c r="E43" s="12">
        <v>1</v>
      </c>
      <c r="F43" s="8">
        <v>0.08</v>
      </c>
      <c r="G43" s="12">
        <v>27</v>
      </c>
      <c r="H43" s="8">
        <v>2.0499999999999998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173</v>
      </c>
      <c r="C47" s="12">
        <v>128</v>
      </c>
      <c r="D47" s="8">
        <v>4.95</v>
      </c>
      <c r="E47" s="12">
        <v>111</v>
      </c>
      <c r="F47" s="8">
        <v>8.8699999999999992</v>
      </c>
      <c r="G47" s="12">
        <v>17</v>
      </c>
      <c r="H47" s="8">
        <v>1.29</v>
      </c>
      <c r="I47" s="12">
        <v>0</v>
      </c>
    </row>
    <row r="48" spans="2:9" ht="15" customHeight="1" x14ac:dyDescent="0.2">
      <c r="B48" t="s">
        <v>167</v>
      </c>
      <c r="C48" s="12">
        <v>100</v>
      </c>
      <c r="D48" s="8">
        <v>3.87</v>
      </c>
      <c r="E48" s="12">
        <v>51</v>
      </c>
      <c r="F48" s="8">
        <v>4.08</v>
      </c>
      <c r="G48" s="12">
        <v>49</v>
      </c>
      <c r="H48" s="8">
        <v>3.73</v>
      </c>
      <c r="I48" s="12">
        <v>0</v>
      </c>
    </row>
    <row r="49" spans="2:9" ht="15" customHeight="1" x14ac:dyDescent="0.2">
      <c r="B49" t="s">
        <v>172</v>
      </c>
      <c r="C49" s="12">
        <v>87</v>
      </c>
      <c r="D49" s="8">
        <v>3.37</v>
      </c>
      <c r="E49" s="12">
        <v>79</v>
      </c>
      <c r="F49" s="8">
        <v>6.31</v>
      </c>
      <c r="G49" s="12">
        <v>8</v>
      </c>
      <c r="H49" s="8">
        <v>0.61</v>
      </c>
      <c r="I49" s="12">
        <v>0</v>
      </c>
    </row>
    <row r="50" spans="2:9" ht="15" customHeight="1" x14ac:dyDescent="0.2">
      <c r="B50" t="s">
        <v>174</v>
      </c>
      <c r="C50" s="12">
        <v>86</v>
      </c>
      <c r="D50" s="8">
        <v>3.33</v>
      </c>
      <c r="E50" s="12">
        <v>74</v>
      </c>
      <c r="F50" s="8">
        <v>5.92</v>
      </c>
      <c r="G50" s="12">
        <v>11</v>
      </c>
      <c r="H50" s="8">
        <v>0.84</v>
      </c>
      <c r="I50" s="12">
        <v>1</v>
      </c>
    </row>
    <row r="51" spans="2:9" ht="15" customHeight="1" x14ac:dyDescent="0.2">
      <c r="B51" t="s">
        <v>175</v>
      </c>
      <c r="C51" s="12">
        <v>82</v>
      </c>
      <c r="D51" s="8">
        <v>3.17</v>
      </c>
      <c r="E51" s="12">
        <v>72</v>
      </c>
      <c r="F51" s="8">
        <v>5.76</v>
      </c>
      <c r="G51" s="12">
        <v>10</v>
      </c>
      <c r="H51" s="8">
        <v>0.76</v>
      </c>
      <c r="I51" s="12">
        <v>0</v>
      </c>
    </row>
    <row r="52" spans="2:9" ht="15" customHeight="1" x14ac:dyDescent="0.2">
      <c r="B52" t="s">
        <v>170</v>
      </c>
      <c r="C52" s="12">
        <v>76</v>
      </c>
      <c r="D52" s="8">
        <v>2.94</v>
      </c>
      <c r="E52" s="12">
        <v>72</v>
      </c>
      <c r="F52" s="8">
        <v>5.76</v>
      </c>
      <c r="G52" s="12">
        <v>4</v>
      </c>
      <c r="H52" s="8">
        <v>0.3</v>
      </c>
      <c r="I52" s="12">
        <v>0</v>
      </c>
    </row>
    <row r="53" spans="2:9" ht="15" customHeight="1" x14ac:dyDescent="0.2">
      <c r="B53" t="s">
        <v>169</v>
      </c>
      <c r="C53" s="12">
        <v>73</v>
      </c>
      <c r="D53" s="8">
        <v>2.83</v>
      </c>
      <c r="E53" s="12">
        <v>62</v>
      </c>
      <c r="F53" s="8">
        <v>4.96</v>
      </c>
      <c r="G53" s="12">
        <v>11</v>
      </c>
      <c r="H53" s="8">
        <v>0.84</v>
      </c>
      <c r="I53" s="12">
        <v>0</v>
      </c>
    </row>
    <row r="54" spans="2:9" ht="15" customHeight="1" x14ac:dyDescent="0.2">
      <c r="B54" t="s">
        <v>162</v>
      </c>
      <c r="C54" s="12">
        <v>62</v>
      </c>
      <c r="D54" s="8">
        <v>2.4</v>
      </c>
      <c r="E54" s="12">
        <v>40</v>
      </c>
      <c r="F54" s="8">
        <v>3.2</v>
      </c>
      <c r="G54" s="12">
        <v>22</v>
      </c>
      <c r="H54" s="8">
        <v>1.67</v>
      </c>
      <c r="I54" s="12">
        <v>0</v>
      </c>
    </row>
    <row r="55" spans="2:9" ht="15" customHeight="1" x14ac:dyDescent="0.2">
      <c r="B55" t="s">
        <v>160</v>
      </c>
      <c r="C55" s="12">
        <v>59</v>
      </c>
      <c r="D55" s="8">
        <v>2.2799999999999998</v>
      </c>
      <c r="E55" s="12">
        <v>10</v>
      </c>
      <c r="F55" s="8">
        <v>0.8</v>
      </c>
      <c r="G55" s="12">
        <v>49</v>
      </c>
      <c r="H55" s="8">
        <v>3.73</v>
      </c>
      <c r="I55" s="12">
        <v>0</v>
      </c>
    </row>
    <row r="56" spans="2:9" ht="15" customHeight="1" x14ac:dyDescent="0.2">
      <c r="B56" t="s">
        <v>163</v>
      </c>
      <c r="C56" s="12">
        <v>57</v>
      </c>
      <c r="D56" s="8">
        <v>2.21</v>
      </c>
      <c r="E56" s="12">
        <v>26</v>
      </c>
      <c r="F56" s="8">
        <v>2.08</v>
      </c>
      <c r="G56" s="12">
        <v>31</v>
      </c>
      <c r="H56" s="8">
        <v>2.36</v>
      </c>
      <c r="I56" s="12">
        <v>0</v>
      </c>
    </row>
    <row r="57" spans="2:9" ht="15" customHeight="1" x14ac:dyDescent="0.2">
      <c r="B57" t="s">
        <v>166</v>
      </c>
      <c r="C57" s="12">
        <v>54</v>
      </c>
      <c r="D57" s="8">
        <v>2.09</v>
      </c>
      <c r="E57" s="12">
        <v>10</v>
      </c>
      <c r="F57" s="8">
        <v>0.8</v>
      </c>
      <c r="G57" s="12">
        <v>44</v>
      </c>
      <c r="H57" s="8">
        <v>3.35</v>
      </c>
      <c r="I57" s="12">
        <v>0</v>
      </c>
    </row>
    <row r="58" spans="2:9" ht="15" customHeight="1" x14ac:dyDescent="0.2">
      <c r="B58" t="s">
        <v>177</v>
      </c>
      <c r="C58" s="12">
        <v>42</v>
      </c>
      <c r="D58" s="8">
        <v>1.63</v>
      </c>
      <c r="E58" s="12">
        <v>13</v>
      </c>
      <c r="F58" s="8">
        <v>1.04</v>
      </c>
      <c r="G58" s="12">
        <v>29</v>
      </c>
      <c r="H58" s="8">
        <v>2.21</v>
      </c>
      <c r="I58" s="12">
        <v>0</v>
      </c>
    </row>
    <row r="59" spans="2:9" ht="15" customHeight="1" x14ac:dyDescent="0.2">
      <c r="B59" t="s">
        <v>188</v>
      </c>
      <c r="C59" s="12">
        <v>42</v>
      </c>
      <c r="D59" s="8">
        <v>1.63</v>
      </c>
      <c r="E59" s="12">
        <v>27</v>
      </c>
      <c r="F59" s="8">
        <v>2.16</v>
      </c>
      <c r="G59" s="12">
        <v>15</v>
      </c>
      <c r="H59" s="8">
        <v>1.1399999999999999</v>
      </c>
      <c r="I59" s="12">
        <v>0</v>
      </c>
    </row>
    <row r="60" spans="2:9" ht="15" customHeight="1" x14ac:dyDescent="0.2">
      <c r="B60" t="s">
        <v>161</v>
      </c>
      <c r="C60" s="12">
        <v>40</v>
      </c>
      <c r="D60" s="8">
        <v>1.55</v>
      </c>
      <c r="E60" s="12">
        <v>13</v>
      </c>
      <c r="F60" s="8">
        <v>1.04</v>
      </c>
      <c r="G60" s="12">
        <v>27</v>
      </c>
      <c r="H60" s="8">
        <v>2.0499999999999998</v>
      </c>
      <c r="I60" s="12">
        <v>0</v>
      </c>
    </row>
    <row r="61" spans="2:9" ht="15" customHeight="1" x14ac:dyDescent="0.2">
      <c r="B61" t="s">
        <v>158</v>
      </c>
      <c r="C61" s="12">
        <v>39</v>
      </c>
      <c r="D61" s="8">
        <v>1.51</v>
      </c>
      <c r="E61" s="12">
        <v>4</v>
      </c>
      <c r="F61" s="8">
        <v>0.32</v>
      </c>
      <c r="G61" s="12">
        <v>35</v>
      </c>
      <c r="H61" s="8">
        <v>2.66</v>
      </c>
      <c r="I61" s="12">
        <v>0</v>
      </c>
    </row>
    <row r="62" spans="2:9" ht="15" customHeight="1" x14ac:dyDescent="0.2">
      <c r="B62" t="s">
        <v>157</v>
      </c>
      <c r="C62" s="12">
        <v>38</v>
      </c>
      <c r="D62" s="8">
        <v>1.47</v>
      </c>
      <c r="E62" s="12">
        <v>5</v>
      </c>
      <c r="F62" s="8">
        <v>0.4</v>
      </c>
      <c r="G62" s="12">
        <v>33</v>
      </c>
      <c r="H62" s="8">
        <v>2.5099999999999998</v>
      </c>
      <c r="I62" s="12">
        <v>0</v>
      </c>
    </row>
    <row r="63" spans="2:9" ht="15" customHeight="1" x14ac:dyDescent="0.2">
      <c r="B63" t="s">
        <v>178</v>
      </c>
      <c r="C63" s="12">
        <v>38</v>
      </c>
      <c r="D63" s="8">
        <v>1.47</v>
      </c>
      <c r="E63" s="12">
        <v>12</v>
      </c>
      <c r="F63" s="8">
        <v>0.96</v>
      </c>
      <c r="G63" s="12">
        <v>26</v>
      </c>
      <c r="H63" s="8">
        <v>1.98</v>
      </c>
      <c r="I63" s="12">
        <v>0</v>
      </c>
    </row>
    <row r="64" spans="2:9" ht="15" customHeight="1" x14ac:dyDescent="0.2">
      <c r="B64" t="s">
        <v>176</v>
      </c>
      <c r="C64" s="12">
        <v>37</v>
      </c>
      <c r="D64" s="8">
        <v>1.43</v>
      </c>
      <c r="E64" s="12">
        <v>21</v>
      </c>
      <c r="F64" s="8">
        <v>1.68</v>
      </c>
      <c r="G64" s="12">
        <v>16</v>
      </c>
      <c r="H64" s="8">
        <v>1.22</v>
      </c>
      <c r="I64" s="12">
        <v>0</v>
      </c>
    </row>
    <row r="65" spans="2:9" ht="15" customHeight="1" x14ac:dyDescent="0.2">
      <c r="B65" t="s">
        <v>171</v>
      </c>
      <c r="C65" s="12">
        <v>36</v>
      </c>
      <c r="D65" s="8">
        <v>1.39</v>
      </c>
      <c r="E65" s="12">
        <v>19</v>
      </c>
      <c r="F65" s="8">
        <v>1.52</v>
      </c>
      <c r="G65" s="12">
        <v>17</v>
      </c>
      <c r="H65" s="8">
        <v>1.29</v>
      </c>
      <c r="I65" s="12">
        <v>0</v>
      </c>
    </row>
    <row r="66" spans="2:9" ht="15" customHeight="1" x14ac:dyDescent="0.2">
      <c r="B66" t="s">
        <v>164</v>
      </c>
      <c r="C66" s="12">
        <v>35</v>
      </c>
      <c r="D66" s="8">
        <v>1.35</v>
      </c>
      <c r="E66" s="12">
        <v>19</v>
      </c>
      <c r="F66" s="8">
        <v>1.52</v>
      </c>
      <c r="G66" s="12">
        <v>16</v>
      </c>
      <c r="H66" s="8">
        <v>1.22</v>
      </c>
      <c r="I66" s="12">
        <v>0</v>
      </c>
    </row>
    <row r="68" spans="2:9" ht="15" customHeight="1" x14ac:dyDescent="0.2">
      <c r="B68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D2514-D21A-4226-8EBB-1D0A2B0027B7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296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160</v>
      </c>
      <c r="D6" s="8">
        <v>13.51</v>
      </c>
      <c r="E6" s="12">
        <v>76</v>
      </c>
      <c r="F6" s="8">
        <v>11.82</v>
      </c>
      <c r="G6" s="12">
        <v>84</v>
      </c>
      <c r="H6" s="8">
        <v>15.79</v>
      </c>
      <c r="I6" s="12">
        <v>0</v>
      </c>
    </row>
    <row r="7" spans="2:9" ht="15" customHeight="1" x14ac:dyDescent="0.2">
      <c r="B7" t="s">
        <v>76</v>
      </c>
      <c r="C7" s="12">
        <v>179</v>
      </c>
      <c r="D7" s="8">
        <v>15.12</v>
      </c>
      <c r="E7" s="12">
        <v>80</v>
      </c>
      <c r="F7" s="8">
        <v>12.44</v>
      </c>
      <c r="G7" s="12">
        <v>99</v>
      </c>
      <c r="H7" s="8">
        <v>18.61</v>
      </c>
      <c r="I7" s="12">
        <v>0</v>
      </c>
    </row>
    <row r="8" spans="2:9" ht="15" customHeight="1" x14ac:dyDescent="0.2">
      <c r="B8" t="s">
        <v>77</v>
      </c>
      <c r="C8" s="12">
        <v>2</v>
      </c>
      <c r="D8" s="8">
        <v>0.17</v>
      </c>
      <c r="E8" s="12">
        <v>0</v>
      </c>
      <c r="F8" s="8">
        <v>0</v>
      </c>
      <c r="G8" s="12">
        <v>2</v>
      </c>
      <c r="H8" s="8">
        <v>0.38</v>
      </c>
      <c r="I8" s="12">
        <v>0</v>
      </c>
    </row>
    <row r="9" spans="2:9" ht="15" customHeight="1" x14ac:dyDescent="0.2">
      <c r="B9" t="s">
        <v>78</v>
      </c>
      <c r="C9" s="12">
        <v>4</v>
      </c>
      <c r="D9" s="8">
        <v>0.34</v>
      </c>
      <c r="E9" s="12">
        <v>0</v>
      </c>
      <c r="F9" s="8">
        <v>0</v>
      </c>
      <c r="G9" s="12">
        <v>4</v>
      </c>
      <c r="H9" s="8">
        <v>0.75</v>
      </c>
      <c r="I9" s="12">
        <v>0</v>
      </c>
    </row>
    <row r="10" spans="2:9" ht="15" customHeight="1" x14ac:dyDescent="0.2">
      <c r="B10" t="s">
        <v>79</v>
      </c>
      <c r="C10" s="12">
        <v>19</v>
      </c>
      <c r="D10" s="8">
        <v>1.6</v>
      </c>
      <c r="E10" s="12">
        <v>2</v>
      </c>
      <c r="F10" s="8">
        <v>0.31</v>
      </c>
      <c r="G10" s="12">
        <v>17</v>
      </c>
      <c r="H10" s="8">
        <v>3.2</v>
      </c>
      <c r="I10" s="12">
        <v>0</v>
      </c>
    </row>
    <row r="11" spans="2:9" ht="15" customHeight="1" x14ac:dyDescent="0.2">
      <c r="B11" t="s">
        <v>80</v>
      </c>
      <c r="C11" s="12">
        <v>293</v>
      </c>
      <c r="D11" s="8">
        <v>24.75</v>
      </c>
      <c r="E11" s="12">
        <v>126</v>
      </c>
      <c r="F11" s="8">
        <v>19.600000000000001</v>
      </c>
      <c r="G11" s="12">
        <v>167</v>
      </c>
      <c r="H11" s="8">
        <v>31.39</v>
      </c>
      <c r="I11" s="12">
        <v>0</v>
      </c>
    </row>
    <row r="12" spans="2:9" ht="15" customHeight="1" x14ac:dyDescent="0.2">
      <c r="B12" t="s">
        <v>81</v>
      </c>
      <c r="C12" s="12">
        <v>10</v>
      </c>
      <c r="D12" s="8">
        <v>0.84</v>
      </c>
      <c r="E12" s="12">
        <v>2</v>
      </c>
      <c r="F12" s="8">
        <v>0.31</v>
      </c>
      <c r="G12" s="12">
        <v>8</v>
      </c>
      <c r="H12" s="8">
        <v>1.5</v>
      </c>
      <c r="I12" s="12">
        <v>0</v>
      </c>
    </row>
    <row r="13" spans="2:9" ht="15" customHeight="1" x14ac:dyDescent="0.2">
      <c r="B13" t="s">
        <v>82</v>
      </c>
      <c r="C13" s="12">
        <v>83</v>
      </c>
      <c r="D13" s="8">
        <v>7.01</v>
      </c>
      <c r="E13" s="12">
        <v>33</v>
      </c>
      <c r="F13" s="8">
        <v>5.13</v>
      </c>
      <c r="G13" s="12">
        <v>50</v>
      </c>
      <c r="H13" s="8">
        <v>9.4</v>
      </c>
      <c r="I13" s="12">
        <v>0</v>
      </c>
    </row>
    <row r="14" spans="2:9" ht="15" customHeight="1" x14ac:dyDescent="0.2">
      <c r="B14" t="s">
        <v>83</v>
      </c>
      <c r="C14" s="12">
        <v>37</v>
      </c>
      <c r="D14" s="8">
        <v>3.13</v>
      </c>
      <c r="E14" s="12">
        <v>18</v>
      </c>
      <c r="F14" s="8">
        <v>2.8</v>
      </c>
      <c r="G14" s="12">
        <v>18</v>
      </c>
      <c r="H14" s="8">
        <v>3.38</v>
      </c>
      <c r="I14" s="12">
        <v>0</v>
      </c>
    </row>
    <row r="15" spans="2:9" ht="15" customHeight="1" x14ac:dyDescent="0.2">
      <c r="B15" t="s">
        <v>84</v>
      </c>
      <c r="C15" s="12">
        <v>112</v>
      </c>
      <c r="D15" s="8">
        <v>9.4600000000000009</v>
      </c>
      <c r="E15" s="12">
        <v>95</v>
      </c>
      <c r="F15" s="8">
        <v>14.77</v>
      </c>
      <c r="G15" s="12">
        <v>16</v>
      </c>
      <c r="H15" s="8">
        <v>3.01</v>
      </c>
      <c r="I15" s="12">
        <v>0</v>
      </c>
    </row>
    <row r="16" spans="2:9" ht="15" customHeight="1" x14ac:dyDescent="0.2">
      <c r="B16" t="s">
        <v>85</v>
      </c>
      <c r="C16" s="12">
        <v>155</v>
      </c>
      <c r="D16" s="8">
        <v>13.09</v>
      </c>
      <c r="E16" s="12">
        <v>131</v>
      </c>
      <c r="F16" s="8">
        <v>20.37</v>
      </c>
      <c r="G16" s="12">
        <v>23</v>
      </c>
      <c r="H16" s="8">
        <v>4.32</v>
      </c>
      <c r="I16" s="12">
        <v>0</v>
      </c>
    </row>
    <row r="17" spans="2:9" ht="15" customHeight="1" x14ac:dyDescent="0.2">
      <c r="B17" t="s">
        <v>86</v>
      </c>
      <c r="C17" s="12">
        <v>34</v>
      </c>
      <c r="D17" s="8">
        <v>2.87</v>
      </c>
      <c r="E17" s="12">
        <v>28</v>
      </c>
      <c r="F17" s="8">
        <v>4.3499999999999996</v>
      </c>
      <c r="G17" s="12">
        <v>6</v>
      </c>
      <c r="H17" s="8">
        <v>1.1299999999999999</v>
      </c>
      <c r="I17" s="12">
        <v>0</v>
      </c>
    </row>
    <row r="18" spans="2:9" ht="15" customHeight="1" x14ac:dyDescent="0.2">
      <c r="B18" t="s">
        <v>87</v>
      </c>
      <c r="C18" s="12">
        <v>53</v>
      </c>
      <c r="D18" s="8">
        <v>4.4800000000000004</v>
      </c>
      <c r="E18" s="12">
        <v>29</v>
      </c>
      <c r="F18" s="8">
        <v>4.51</v>
      </c>
      <c r="G18" s="12">
        <v>19</v>
      </c>
      <c r="H18" s="8">
        <v>3.57</v>
      </c>
      <c r="I18" s="12">
        <v>0</v>
      </c>
    </row>
    <row r="19" spans="2:9" ht="15" customHeight="1" x14ac:dyDescent="0.2">
      <c r="B19" t="s">
        <v>88</v>
      </c>
      <c r="C19" s="12">
        <v>43</v>
      </c>
      <c r="D19" s="8">
        <v>3.63</v>
      </c>
      <c r="E19" s="12">
        <v>23</v>
      </c>
      <c r="F19" s="8">
        <v>3.58</v>
      </c>
      <c r="G19" s="12">
        <v>19</v>
      </c>
      <c r="H19" s="8">
        <v>3.57</v>
      </c>
      <c r="I19" s="12">
        <v>0</v>
      </c>
    </row>
    <row r="20" spans="2:9" ht="15" customHeight="1" x14ac:dyDescent="0.2">
      <c r="B20" s="9" t="s">
        <v>269</v>
      </c>
      <c r="C20" s="12">
        <f>SUM(LTBL_11216[総数／事業所数])</f>
        <v>1184</v>
      </c>
      <c r="E20" s="12">
        <f>SUBTOTAL(109,LTBL_11216[個人／事業所数])</f>
        <v>643</v>
      </c>
      <c r="G20" s="12">
        <f>SUBTOTAL(109,LTBL_11216[法人／事業所数])</f>
        <v>532</v>
      </c>
      <c r="I20" s="12">
        <f>SUBTOTAL(109,LTBL_11216[法人以外の団体／事業所数])</f>
        <v>0</v>
      </c>
    </row>
    <row r="21" spans="2:9" ht="15" customHeight="1" x14ac:dyDescent="0.2">
      <c r="E21" s="11">
        <f>LTBL_11216[[#Totals],[個人／事業所数]]/LTBL_11216[[#Totals],[総数／事業所数]]</f>
        <v>0.54307432432432434</v>
      </c>
      <c r="G21" s="11">
        <f>LTBL_11216[[#Totals],[法人／事業所数]]/LTBL_11216[[#Totals],[総数／事業所数]]</f>
        <v>0.44932432432432434</v>
      </c>
      <c r="I21" s="11">
        <f>LTBL_11216[[#Totals],[法人以外の団体／事業所数]]/LTBL_11216[[#Totals],[総数／事業所数]]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121</v>
      </c>
      <c r="D24" s="8">
        <v>10.220000000000001</v>
      </c>
      <c r="E24" s="12">
        <v>110</v>
      </c>
      <c r="F24" s="8">
        <v>17.11</v>
      </c>
      <c r="G24" s="12">
        <v>11</v>
      </c>
      <c r="H24" s="8">
        <v>2.0699999999999998</v>
      </c>
      <c r="I24" s="12">
        <v>0</v>
      </c>
    </row>
    <row r="25" spans="2:9" ht="15" customHeight="1" x14ac:dyDescent="0.2">
      <c r="B25" t="s">
        <v>111</v>
      </c>
      <c r="C25" s="12">
        <v>104</v>
      </c>
      <c r="D25" s="8">
        <v>8.7799999999999994</v>
      </c>
      <c r="E25" s="12">
        <v>91</v>
      </c>
      <c r="F25" s="8">
        <v>14.15</v>
      </c>
      <c r="G25" s="12">
        <v>13</v>
      </c>
      <c r="H25" s="8">
        <v>2.44</v>
      </c>
      <c r="I25" s="12">
        <v>0</v>
      </c>
    </row>
    <row r="26" spans="2:9" ht="15" customHeight="1" x14ac:dyDescent="0.2">
      <c r="B26" t="s">
        <v>106</v>
      </c>
      <c r="C26" s="12">
        <v>82</v>
      </c>
      <c r="D26" s="8">
        <v>6.93</v>
      </c>
      <c r="E26" s="12">
        <v>40</v>
      </c>
      <c r="F26" s="8">
        <v>6.22</v>
      </c>
      <c r="G26" s="12">
        <v>42</v>
      </c>
      <c r="H26" s="8">
        <v>7.89</v>
      </c>
      <c r="I26" s="12">
        <v>0</v>
      </c>
    </row>
    <row r="27" spans="2:9" ht="15" customHeight="1" x14ac:dyDescent="0.2">
      <c r="B27" t="s">
        <v>97</v>
      </c>
      <c r="C27" s="12">
        <v>71</v>
      </c>
      <c r="D27" s="8">
        <v>6</v>
      </c>
      <c r="E27" s="12">
        <v>38</v>
      </c>
      <c r="F27" s="8">
        <v>5.91</v>
      </c>
      <c r="G27" s="12">
        <v>33</v>
      </c>
      <c r="H27" s="8">
        <v>6.2</v>
      </c>
      <c r="I27" s="12">
        <v>0</v>
      </c>
    </row>
    <row r="28" spans="2:9" ht="15" customHeight="1" x14ac:dyDescent="0.2">
      <c r="B28" t="s">
        <v>108</v>
      </c>
      <c r="C28" s="12">
        <v>67</v>
      </c>
      <c r="D28" s="8">
        <v>5.66</v>
      </c>
      <c r="E28" s="12">
        <v>30</v>
      </c>
      <c r="F28" s="8">
        <v>4.67</v>
      </c>
      <c r="G28" s="12">
        <v>37</v>
      </c>
      <c r="H28" s="8">
        <v>6.95</v>
      </c>
      <c r="I28" s="12">
        <v>0</v>
      </c>
    </row>
    <row r="29" spans="2:9" ht="15" customHeight="1" x14ac:dyDescent="0.2">
      <c r="B29" t="s">
        <v>127</v>
      </c>
      <c r="C29" s="12">
        <v>64</v>
      </c>
      <c r="D29" s="8">
        <v>5.41</v>
      </c>
      <c r="E29" s="12">
        <v>26</v>
      </c>
      <c r="F29" s="8">
        <v>4.04</v>
      </c>
      <c r="G29" s="12">
        <v>38</v>
      </c>
      <c r="H29" s="8">
        <v>7.14</v>
      </c>
      <c r="I29" s="12">
        <v>0</v>
      </c>
    </row>
    <row r="30" spans="2:9" ht="15" customHeight="1" x14ac:dyDescent="0.2">
      <c r="B30" t="s">
        <v>98</v>
      </c>
      <c r="C30" s="12">
        <v>62</v>
      </c>
      <c r="D30" s="8">
        <v>5.24</v>
      </c>
      <c r="E30" s="12">
        <v>31</v>
      </c>
      <c r="F30" s="8">
        <v>4.82</v>
      </c>
      <c r="G30" s="12">
        <v>31</v>
      </c>
      <c r="H30" s="8">
        <v>5.83</v>
      </c>
      <c r="I30" s="12">
        <v>0</v>
      </c>
    </row>
    <row r="31" spans="2:9" ht="15" customHeight="1" x14ac:dyDescent="0.2">
      <c r="B31" t="s">
        <v>105</v>
      </c>
      <c r="C31" s="12">
        <v>52</v>
      </c>
      <c r="D31" s="8">
        <v>4.3899999999999997</v>
      </c>
      <c r="E31" s="12">
        <v>30</v>
      </c>
      <c r="F31" s="8">
        <v>4.67</v>
      </c>
      <c r="G31" s="12">
        <v>22</v>
      </c>
      <c r="H31" s="8">
        <v>4.1399999999999997</v>
      </c>
      <c r="I31" s="12">
        <v>0</v>
      </c>
    </row>
    <row r="32" spans="2:9" ht="15" customHeight="1" x14ac:dyDescent="0.2">
      <c r="B32" t="s">
        <v>103</v>
      </c>
      <c r="C32" s="12">
        <v>44</v>
      </c>
      <c r="D32" s="8">
        <v>3.72</v>
      </c>
      <c r="E32" s="12">
        <v>11</v>
      </c>
      <c r="F32" s="8">
        <v>1.71</v>
      </c>
      <c r="G32" s="12">
        <v>33</v>
      </c>
      <c r="H32" s="8">
        <v>6.2</v>
      </c>
      <c r="I32" s="12">
        <v>0</v>
      </c>
    </row>
    <row r="33" spans="2:9" ht="15" customHeight="1" x14ac:dyDescent="0.2">
      <c r="B33" t="s">
        <v>104</v>
      </c>
      <c r="C33" s="12">
        <v>43</v>
      </c>
      <c r="D33" s="8">
        <v>3.63</v>
      </c>
      <c r="E33" s="12">
        <v>36</v>
      </c>
      <c r="F33" s="8">
        <v>5.6</v>
      </c>
      <c r="G33" s="12">
        <v>7</v>
      </c>
      <c r="H33" s="8">
        <v>1.32</v>
      </c>
      <c r="I33" s="12">
        <v>0</v>
      </c>
    </row>
    <row r="34" spans="2:9" ht="15" customHeight="1" x14ac:dyDescent="0.2">
      <c r="B34" t="s">
        <v>114</v>
      </c>
      <c r="C34" s="12">
        <v>34</v>
      </c>
      <c r="D34" s="8">
        <v>2.87</v>
      </c>
      <c r="E34" s="12">
        <v>28</v>
      </c>
      <c r="F34" s="8">
        <v>4.3499999999999996</v>
      </c>
      <c r="G34" s="12">
        <v>6</v>
      </c>
      <c r="H34" s="8">
        <v>1.1299999999999999</v>
      </c>
      <c r="I34" s="12">
        <v>0</v>
      </c>
    </row>
    <row r="35" spans="2:9" ht="15" customHeight="1" x14ac:dyDescent="0.2">
      <c r="B35" t="s">
        <v>115</v>
      </c>
      <c r="C35" s="12">
        <v>32</v>
      </c>
      <c r="D35" s="8">
        <v>2.7</v>
      </c>
      <c r="E35" s="12">
        <v>29</v>
      </c>
      <c r="F35" s="8">
        <v>4.51</v>
      </c>
      <c r="G35" s="12">
        <v>3</v>
      </c>
      <c r="H35" s="8">
        <v>0.56000000000000005</v>
      </c>
      <c r="I35" s="12">
        <v>0</v>
      </c>
    </row>
    <row r="36" spans="2:9" ht="15" customHeight="1" x14ac:dyDescent="0.2">
      <c r="B36" t="s">
        <v>99</v>
      </c>
      <c r="C36" s="12">
        <v>27</v>
      </c>
      <c r="D36" s="8">
        <v>2.2799999999999998</v>
      </c>
      <c r="E36" s="12">
        <v>7</v>
      </c>
      <c r="F36" s="8">
        <v>1.0900000000000001</v>
      </c>
      <c r="G36" s="12">
        <v>20</v>
      </c>
      <c r="H36" s="8">
        <v>3.76</v>
      </c>
      <c r="I36" s="12">
        <v>0</v>
      </c>
    </row>
    <row r="37" spans="2:9" ht="15" customHeight="1" x14ac:dyDescent="0.2">
      <c r="B37" t="s">
        <v>100</v>
      </c>
      <c r="C37" s="12">
        <v>26</v>
      </c>
      <c r="D37" s="8">
        <v>2.2000000000000002</v>
      </c>
      <c r="E37" s="12">
        <v>8</v>
      </c>
      <c r="F37" s="8">
        <v>1.24</v>
      </c>
      <c r="G37" s="12">
        <v>18</v>
      </c>
      <c r="H37" s="8">
        <v>3.38</v>
      </c>
      <c r="I37" s="12">
        <v>0</v>
      </c>
    </row>
    <row r="38" spans="2:9" ht="15" customHeight="1" x14ac:dyDescent="0.2">
      <c r="B38" t="s">
        <v>102</v>
      </c>
      <c r="C38" s="12">
        <v>23</v>
      </c>
      <c r="D38" s="8">
        <v>1.94</v>
      </c>
      <c r="E38" s="12">
        <v>2</v>
      </c>
      <c r="F38" s="8">
        <v>0.31</v>
      </c>
      <c r="G38" s="12">
        <v>21</v>
      </c>
      <c r="H38" s="8">
        <v>3.95</v>
      </c>
      <c r="I38" s="12">
        <v>0</v>
      </c>
    </row>
    <row r="39" spans="2:9" ht="15" customHeight="1" x14ac:dyDescent="0.2">
      <c r="B39" t="s">
        <v>109</v>
      </c>
      <c r="C39" s="12">
        <v>21</v>
      </c>
      <c r="D39" s="8">
        <v>1.77</v>
      </c>
      <c r="E39" s="12">
        <v>13</v>
      </c>
      <c r="F39" s="8">
        <v>2.02</v>
      </c>
      <c r="G39" s="12">
        <v>8</v>
      </c>
      <c r="H39" s="8">
        <v>1.5</v>
      </c>
      <c r="I39" s="12">
        <v>0</v>
      </c>
    </row>
    <row r="40" spans="2:9" ht="15" customHeight="1" x14ac:dyDescent="0.2">
      <c r="B40" t="s">
        <v>118</v>
      </c>
      <c r="C40" s="12">
        <v>21</v>
      </c>
      <c r="D40" s="8">
        <v>1.77</v>
      </c>
      <c r="E40" s="12">
        <v>0</v>
      </c>
      <c r="F40" s="8">
        <v>0</v>
      </c>
      <c r="G40" s="12">
        <v>16</v>
      </c>
      <c r="H40" s="8">
        <v>3.01</v>
      </c>
      <c r="I40" s="12">
        <v>0</v>
      </c>
    </row>
    <row r="41" spans="2:9" ht="15" customHeight="1" x14ac:dyDescent="0.2">
      <c r="B41" t="s">
        <v>113</v>
      </c>
      <c r="C41" s="12">
        <v>20</v>
      </c>
      <c r="D41" s="8">
        <v>1.69</v>
      </c>
      <c r="E41" s="12">
        <v>14</v>
      </c>
      <c r="F41" s="8">
        <v>2.1800000000000002</v>
      </c>
      <c r="G41" s="12">
        <v>6</v>
      </c>
      <c r="H41" s="8">
        <v>1.1299999999999999</v>
      </c>
      <c r="I41" s="12">
        <v>0</v>
      </c>
    </row>
    <row r="42" spans="2:9" ht="15" customHeight="1" x14ac:dyDescent="0.2">
      <c r="B42" t="s">
        <v>101</v>
      </c>
      <c r="C42" s="12">
        <v>16</v>
      </c>
      <c r="D42" s="8">
        <v>1.35</v>
      </c>
      <c r="E42" s="12">
        <v>2</v>
      </c>
      <c r="F42" s="8">
        <v>0.31</v>
      </c>
      <c r="G42" s="12">
        <v>14</v>
      </c>
      <c r="H42" s="8">
        <v>2.63</v>
      </c>
      <c r="I42" s="12">
        <v>0</v>
      </c>
    </row>
    <row r="43" spans="2:9" ht="15" customHeight="1" x14ac:dyDescent="0.2">
      <c r="B43" t="s">
        <v>110</v>
      </c>
      <c r="C43" s="12">
        <v>16</v>
      </c>
      <c r="D43" s="8">
        <v>1.35</v>
      </c>
      <c r="E43" s="12">
        <v>5</v>
      </c>
      <c r="F43" s="8">
        <v>0.78</v>
      </c>
      <c r="G43" s="12">
        <v>10</v>
      </c>
      <c r="H43" s="8">
        <v>1.88</v>
      </c>
      <c r="I43" s="12">
        <v>0</v>
      </c>
    </row>
    <row r="44" spans="2:9" ht="15" customHeight="1" x14ac:dyDescent="0.2">
      <c r="B44" t="s">
        <v>116</v>
      </c>
      <c r="C44" s="12">
        <v>16</v>
      </c>
      <c r="D44" s="8">
        <v>1.35</v>
      </c>
      <c r="E44" s="12">
        <v>12</v>
      </c>
      <c r="F44" s="8">
        <v>1.87</v>
      </c>
      <c r="G44" s="12">
        <v>4</v>
      </c>
      <c r="H44" s="8">
        <v>0.75</v>
      </c>
      <c r="I44" s="12">
        <v>0</v>
      </c>
    </row>
    <row r="47" spans="2:9" ht="33" customHeight="1" x14ac:dyDescent="0.2">
      <c r="B47" t="s">
        <v>271</v>
      </c>
      <c r="C47" s="10" t="s">
        <v>90</v>
      </c>
      <c r="D47" s="10" t="s">
        <v>91</v>
      </c>
      <c r="E47" s="10" t="s">
        <v>92</v>
      </c>
      <c r="F47" s="10" t="s">
        <v>93</v>
      </c>
      <c r="G47" s="10" t="s">
        <v>94</v>
      </c>
      <c r="H47" s="10" t="s">
        <v>95</v>
      </c>
      <c r="I47" s="10" t="s">
        <v>96</v>
      </c>
    </row>
    <row r="48" spans="2:9" ht="15" customHeight="1" x14ac:dyDescent="0.2">
      <c r="B48" t="s">
        <v>173</v>
      </c>
      <c r="C48" s="12">
        <v>54</v>
      </c>
      <c r="D48" s="8">
        <v>4.5599999999999996</v>
      </c>
      <c r="E48" s="12">
        <v>51</v>
      </c>
      <c r="F48" s="8">
        <v>7.93</v>
      </c>
      <c r="G48" s="12">
        <v>3</v>
      </c>
      <c r="H48" s="8">
        <v>0.56000000000000005</v>
      </c>
      <c r="I48" s="12">
        <v>0</v>
      </c>
    </row>
    <row r="49" spans="2:9" ht="15" customHeight="1" x14ac:dyDescent="0.2">
      <c r="B49" t="s">
        <v>202</v>
      </c>
      <c r="C49" s="12">
        <v>46</v>
      </c>
      <c r="D49" s="8">
        <v>3.89</v>
      </c>
      <c r="E49" s="12">
        <v>19</v>
      </c>
      <c r="F49" s="8">
        <v>2.95</v>
      </c>
      <c r="G49" s="12">
        <v>27</v>
      </c>
      <c r="H49" s="8">
        <v>5.08</v>
      </c>
      <c r="I49" s="12">
        <v>0</v>
      </c>
    </row>
    <row r="50" spans="2:9" ht="15" customHeight="1" x14ac:dyDescent="0.2">
      <c r="B50" t="s">
        <v>172</v>
      </c>
      <c r="C50" s="12">
        <v>43</v>
      </c>
      <c r="D50" s="8">
        <v>3.63</v>
      </c>
      <c r="E50" s="12">
        <v>42</v>
      </c>
      <c r="F50" s="8">
        <v>6.53</v>
      </c>
      <c r="G50" s="12">
        <v>1</v>
      </c>
      <c r="H50" s="8">
        <v>0.19</v>
      </c>
      <c r="I50" s="12">
        <v>0</v>
      </c>
    </row>
    <row r="51" spans="2:9" ht="15" customHeight="1" x14ac:dyDescent="0.2">
      <c r="B51" t="s">
        <v>159</v>
      </c>
      <c r="C51" s="12">
        <v>32</v>
      </c>
      <c r="D51" s="8">
        <v>2.7</v>
      </c>
      <c r="E51" s="12">
        <v>21</v>
      </c>
      <c r="F51" s="8">
        <v>3.27</v>
      </c>
      <c r="G51" s="12">
        <v>11</v>
      </c>
      <c r="H51" s="8">
        <v>2.0699999999999998</v>
      </c>
      <c r="I51" s="12">
        <v>0</v>
      </c>
    </row>
    <row r="52" spans="2:9" ht="15" customHeight="1" x14ac:dyDescent="0.2">
      <c r="B52" t="s">
        <v>163</v>
      </c>
      <c r="C52" s="12">
        <v>30</v>
      </c>
      <c r="D52" s="8">
        <v>2.5299999999999998</v>
      </c>
      <c r="E52" s="12">
        <v>18</v>
      </c>
      <c r="F52" s="8">
        <v>2.8</v>
      </c>
      <c r="G52" s="12">
        <v>12</v>
      </c>
      <c r="H52" s="8">
        <v>2.2599999999999998</v>
      </c>
      <c r="I52" s="12">
        <v>0</v>
      </c>
    </row>
    <row r="53" spans="2:9" ht="15" customHeight="1" x14ac:dyDescent="0.2">
      <c r="B53" t="s">
        <v>167</v>
      </c>
      <c r="C53" s="12">
        <v>30</v>
      </c>
      <c r="D53" s="8">
        <v>2.5299999999999998</v>
      </c>
      <c r="E53" s="12">
        <v>14</v>
      </c>
      <c r="F53" s="8">
        <v>2.1800000000000002</v>
      </c>
      <c r="G53" s="12">
        <v>16</v>
      </c>
      <c r="H53" s="8">
        <v>3.01</v>
      </c>
      <c r="I53" s="12">
        <v>0</v>
      </c>
    </row>
    <row r="54" spans="2:9" ht="15" customHeight="1" x14ac:dyDescent="0.2">
      <c r="B54" t="s">
        <v>169</v>
      </c>
      <c r="C54" s="12">
        <v>30</v>
      </c>
      <c r="D54" s="8">
        <v>2.5299999999999998</v>
      </c>
      <c r="E54" s="12">
        <v>27</v>
      </c>
      <c r="F54" s="8">
        <v>4.2</v>
      </c>
      <c r="G54" s="12">
        <v>3</v>
      </c>
      <c r="H54" s="8">
        <v>0.56000000000000005</v>
      </c>
      <c r="I54" s="12">
        <v>0</v>
      </c>
    </row>
    <row r="55" spans="2:9" ht="15" customHeight="1" x14ac:dyDescent="0.2">
      <c r="B55" t="s">
        <v>186</v>
      </c>
      <c r="C55" s="12">
        <v>22</v>
      </c>
      <c r="D55" s="8">
        <v>1.86</v>
      </c>
      <c r="E55" s="12">
        <v>4</v>
      </c>
      <c r="F55" s="8">
        <v>0.62</v>
      </c>
      <c r="G55" s="12">
        <v>18</v>
      </c>
      <c r="H55" s="8">
        <v>3.38</v>
      </c>
      <c r="I55" s="12">
        <v>0</v>
      </c>
    </row>
    <row r="56" spans="2:9" ht="15" customHeight="1" x14ac:dyDescent="0.2">
      <c r="B56" t="s">
        <v>170</v>
      </c>
      <c r="C56" s="12">
        <v>22</v>
      </c>
      <c r="D56" s="8">
        <v>1.86</v>
      </c>
      <c r="E56" s="12">
        <v>20</v>
      </c>
      <c r="F56" s="8">
        <v>3.11</v>
      </c>
      <c r="G56" s="12">
        <v>2</v>
      </c>
      <c r="H56" s="8">
        <v>0.38</v>
      </c>
      <c r="I56" s="12">
        <v>0</v>
      </c>
    </row>
    <row r="57" spans="2:9" ht="15" customHeight="1" x14ac:dyDescent="0.2">
      <c r="B57" t="s">
        <v>175</v>
      </c>
      <c r="C57" s="12">
        <v>22</v>
      </c>
      <c r="D57" s="8">
        <v>1.86</v>
      </c>
      <c r="E57" s="12">
        <v>21</v>
      </c>
      <c r="F57" s="8">
        <v>3.27</v>
      </c>
      <c r="G57" s="12">
        <v>1</v>
      </c>
      <c r="H57" s="8">
        <v>0.19</v>
      </c>
      <c r="I57" s="12">
        <v>0</v>
      </c>
    </row>
    <row r="58" spans="2:9" ht="15" customHeight="1" x14ac:dyDescent="0.2">
      <c r="B58" t="s">
        <v>206</v>
      </c>
      <c r="C58" s="12">
        <v>20</v>
      </c>
      <c r="D58" s="8">
        <v>1.69</v>
      </c>
      <c r="E58" s="12">
        <v>17</v>
      </c>
      <c r="F58" s="8">
        <v>2.64</v>
      </c>
      <c r="G58" s="12">
        <v>3</v>
      </c>
      <c r="H58" s="8">
        <v>0.56000000000000005</v>
      </c>
      <c r="I58" s="12">
        <v>0</v>
      </c>
    </row>
    <row r="59" spans="2:9" ht="15" customHeight="1" x14ac:dyDescent="0.2">
      <c r="B59" t="s">
        <v>166</v>
      </c>
      <c r="C59" s="12">
        <v>18</v>
      </c>
      <c r="D59" s="8">
        <v>1.52</v>
      </c>
      <c r="E59" s="12">
        <v>1</v>
      </c>
      <c r="F59" s="8">
        <v>0.16</v>
      </c>
      <c r="G59" s="12">
        <v>17</v>
      </c>
      <c r="H59" s="8">
        <v>3.2</v>
      </c>
      <c r="I59" s="12">
        <v>0</v>
      </c>
    </row>
    <row r="60" spans="2:9" ht="15" customHeight="1" x14ac:dyDescent="0.2">
      <c r="B60" t="s">
        <v>174</v>
      </c>
      <c r="C60" s="12">
        <v>18</v>
      </c>
      <c r="D60" s="8">
        <v>1.52</v>
      </c>
      <c r="E60" s="12">
        <v>15</v>
      </c>
      <c r="F60" s="8">
        <v>2.33</v>
      </c>
      <c r="G60" s="12">
        <v>3</v>
      </c>
      <c r="H60" s="8">
        <v>0.56000000000000005</v>
      </c>
      <c r="I60" s="12">
        <v>0</v>
      </c>
    </row>
    <row r="61" spans="2:9" ht="15" customHeight="1" x14ac:dyDescent="0.2">
      <c r="B61" t="s">
        <v>157</v>
      </c>
      <c r="C61" s="12">
        <v>17</v>
      </c>
      <c r="D61" s="8">
        <v>1.44</v>
      </c>
      <c r="E61" s="12">
        <v>5</v>
      </c>
      <c r="F61" s="8">
        <v>0.78</v>
      </c>
      <c r="G61" s="12">
        <v>12</v>
      </c>
      <c r="H61" s="8">
        <v>2.2599999999999998</v>
      </c>
      <c r="I61" s="12">
        <v>0</v>
      </c>
    </row>
    <row r="62" spans="2:9" ht="15" customHeight="1" x14ac:dyDescent="0.2">
      <c r="B62" t="s">
        <v>203</v>
      </c>
      <c r="C62" s="12">
        <v>17</v>
      </c>
      <c r="D62" s="8">
        <v>1.44</v>
      </c>
      <c r="E62" s="12">
        <v>8</v>
      </c>
      <c r="F62" s="8">
        <v>1.24</v>
      </c>
      <c r="G62" s="12">
        <v>9</v>
      </c>
      <c r="H62" s="8">
        <v>1.69</v>
      </c>
      <c r="I62" s="12">
        <v>0</v>
      </c>
    </row>
    <row r="63" spans="2:9" ht="15" customHeight="1" x14ac:dyDescent="0.2">
      <c r="B63" t="s">
        <v>164</v>
      </c>
      <c r="C63" s="12">
        <v>17</v>
      </c>
      <c r="D63" s="8">
        <v>1.44</v>
      </c>
      <c r="E63" s="12">
        <v>13</v>
      </c>
      <c r="F63" s="8">
        <v>2.02</v>
      </c>
      <c r="G63" s="12">
        <v>4</v>
      </c>
      <c r="H63" s="8">
        <v>0.75</v>
      </c>
      <c r="I63" s="12">
        <v>0</v>
      </c>
    </row>
    <row r="64" spans="2:9" ht="15" customHeight="1" x14ac:dyDescent="0.2">
      <c r="B64" t="s">
        <v>171</v>
      </c>
      <c r="C64" s="12">
        <v>17</v>
      </c>
      <c r="D64" s="8">
        <v>1.44</v>
      </c>
      <c r="E64" s="12">
        <v>12</v>
      </c>
      <c r="F64" s="8">
        <v>1.87</v>
      </c>
      <c r="G64" s="12">
        <v>5</v>
      </c>
      <c r="H64" s="8">
        <v>0.94</v>
      </c>
      <c r="I64" s="12">
        <v>0</v>
      </c>
    </row>
    <row r="65" spans="2:9" ht="15" customHeight="1" x14ac:dyDescent="0.2">
      <c r="B65" t="s">
        <v>160</v>
      </c>
      <c r="C65" s="12">
        <v>16</v>
      </c>
      <c r="D65" s="8">
        <v>1.35</v>
      </c>
      <c r="E65" s="12">
        <v>6</v>
      </c>
      <c r="F65" s="8">
        <v>0.93</v>
      </c>
      <c r="G65" s="12">
        <v>10</v>
      </c>
      <c r="H65" s="8">
        <v>1.88</v>
      </c>
      <c r="I65" s="12">
        <v>0</v>
      </c>
    </row>
    <row r="66" spans="2:9" ht="15" customHeight="1" x14ac:dyDescent="0.2">
      <c r="B66" t="s">
        <v>185</v>
      </c>
      <c r="C66" s="12">
        <v>16</v>
      </c>
      <c r="D66" s="8">
        <v>1.35</v>
      </c>
      <c r="E66" s="12">
        <v>7</v>
      </c>
      <c r="F66" s="8">
        <v>1.0900000000000001</v>
      </c>
      <c r="G66" s="12">
        <v>9</v>
      </c>
      <c r="H66" s="8">
        <v>1.69</v>
      </c>
      <c r="I66" s="12">
        <v>0</v>
      </c>
    </row>
    <row r="67" spans="2:9" ht="15" customHeight="1" x14ac:dyDescent="0.2">
      <c r="B67" t="s">
        <v>189</v>
      </c>
      <c r="C67" s="12">
        <v>16</v>
      </c>
      <c r="D67" s="8">
        <v>1.35</v>
      </c>
      <c r="E67" s="12">
        <v>15</v>
      </c>
      <c r="F67" s="8">
        <v>2.33</v>
      </c>
      <c r="G67" s="12">
        <v>1</v>
      </c>
      <c r="H67" s="8">
        <v>0.19</v>
      </c>
      <c r="I67" s="12">
        <v>0</v>
      </c>
    </row>
    <row r="68" spans="2:9" ht="15" customHeight="1" x14ac:dyDescent="0.2">
      <c r="B68" t="s">
        <v>176</v>
      </c>
      <c r="C68" s="12">
        <v>16</v>
      </c>
      <c r="D68" s="8">
        <v>1.35</v>
      </c>
      <c r="E68" s="12">
        <v>12</v>
      </c>
      <c r="F68" s="8">
        <v>1.87</v>
      </c>
      <c r="G68" s="12">
        <v>4</v>
      </c>
      <c r="H68" s="8">
        <v>0.75</v>
      </c>
      <c r="I68" s="12">
        <v>0</v>
      </c>
    </row>
    <row r="70" spans="2:9" ht="15" customHeight="1" x14ac:dyDescent="0.2">
      <c r="B70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C5045-3615-4AF3-944D-09C9DFC255A9}">
  <sheetPr>
    <pageSetUpPr fitToPage="1"/>
  </sheetPr>
  <dimension ref="A1:I1708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155</v>
      </c>
      <c r="B1" s="3" t="s">
        <v>156</v>
      </c>
      <c r="C1" s="7" t="s">
        <v>90</v>
      </c>
      <c r="D1" s="7" t="s">
        <v>91</v>
      </c>
      <c r="E1" s="7" t="s">
        <v>92</v>
      </c>
      <c r="F1" s="7" t="s">
        <v>93</v>
      </c>
      <c r="G1" s="7" t="s">
        <v>94</v>
      </c>
      <c r="H1" s="7" t="s">
        <v>95</v>
      </c>
      <c r="I1" s="7" t="s">
        <v>96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112</v>
      </c>
      <c r="C3" s="4">
        <v>12812</v>
      </c>
      <c r="D3" s="8">
        <v>9.61</v>
      </c>
      <c r="E3" s="4">
        <v>10464</v>
      </c>
      <c r="F3" s="8">
        <v>18.21</v>
      </c>
      <c r="G3" s="4">
        <v>2347</v>
      </c>
      <c r="H3" s="8">
        <v>3.13</v>
      </c>
      <c r="I3" s="4">
        <v>1</v>
      </c>
    </row>
    <row r="4" spans="1:9" x14ac:dyDescent="0.2">
      <c r="A4" s="2">
        <v>2</v>
      </c>
      <c r="B4" s="1" t="s">
        <v>111</v>
      </c>
      <c r="C4" s="4">
        <v>11503</v>
      </c>
      <c r="D4" s="8">
        <v>8.6300000000000008</v>
      </c>
      <c r="E4" s="4">
        <v>9566</v>
      </c>
      <c r="F4" s="8">
        <v>16.64</v>
      </c>
      <c r="G4" s="4">
        <v>1932</v>
      </c>
      <c r="H4" s="8">
        <v>2.57</v>
      </c>
      <c r="I4" s="4">
        <v>5</v>
      </c>
    </row>
    <row r="5" spans="1:9" x14ac:dyDescent="0.2">
      <c r="A5" s="2">
        <v>3</v>
      </c>
      <c r="B5" s="1" t="s">
        <v>108</v>
      </c>
      <c r="C5" s="4">
        <v>11334</v>
      </c>
      <c r="D5" s="8">
        <v>8.5</v>
      </c>
      <c r="E5" s="4">
        <v>3516</v>
      </c>
      <c r="F5" s="8">
        <v>6.12</v>
      </c>
      <c r="G5" s="4">
        <v>7794</v>
      </c>
      <c r="H5" s="8">
        <v>10.38</v>
      </c>
      <c r="I5" s="4">
        <v>14</v>
      </c>
    </row>
    <row r="6" spans="1:9" x14ac:dyDescent="0.2">
      <c r="A6" s="2">
        <v>4</v>
      </c>
      <c r="B6" s="1" t="s">
        <v>98</v>
      </c>
      <c r="C6" s="4">
        <v>7835</v>
      </c>
      <c r="D6" s="8">
        <v>5.88</v>
      </c>
      <c r="E6" s="4">
        <v>2329</v>
      </c>
      <c r="F6" s="8">
        <v>4.05</v>
      </c>
      <c r="G6" s="4">
        <v>5504</v>
      </c>
      <c r="H6" s="8">
        <v>7.33</v>
      </c>
      <c r="I6" s="4">
        <v>2</v>
      </c>
    </row>
    <row r="7" spans="1:9" x14ac:dyDescent="0.2">
      <c r="A7" s="2">
        <v>5</v>
      </c>
      <c r="B7" s="1" t="s">
        <v>97</v>
      </c>
      <c r="C7" s="4">
        <v>7819</v>
      </c>
      <c r="D7" s="8">
        <v>5.87</v>
      </c>
      <c r="E7" s="4">
        <v>1656</v>
      </c>
      <c r="F7" s="8">
        <v>2.88</v>
      </c>
      <c r="G7" s="4">
        <v>6163</v>
      </c>
      <c r="H7" s="8">
        <v>8.2100000000000009</v>
      </c>
      <c r="I7" s="4">
        <v>0</v>
      </c>
    </row>
    <row r="8" spans="1:9" x14ac:dyDescent="0.2">
      <c r="A8" s="2">
        <v>6</v>
      </c>
      <c r="B8" s="1" t="s">
        <v>106</v>
      </c>
      <c r="C8" s="4">
        <v>6958</v>
      </c>
      <c r="D8" s="8">
        <v>5.22</v>
      </c>
      <c r="E8" s="4">
        <v>3148</v>
      </c>
      <c r="F8" s="8">
        <v>5.48</v>
      </c>
      <c r="G8" s="4">
        <v>3807</v>
      </c>
      <c r="H8" s="8">
        <v>5.07</v>
      </c>
      <c r="I8" s="4">
        <v>3</v>
      </c>
    </row>
    <row r="9" spans="1:9" x14ac:dyDescent="0.2">
      <c r="A9" s="2">
        <v>7</v>
      </c>
      <c r="B9" s="1" t="s">
        <v>99</v>
      </c>
      <c r="C9" s="4">
        <v>5567</v>
      </c>
      <c r="D9" s="8">
        <v>4.18</v>
      </c>
      <c r="E9" s="4">
        <v>907</v>
      </c>
      <c r="F9" s="8">
        <v>1.58</v>
      </c>
      <c r="G9" s="4">
        <v>4659</v>
      </c>
      <c r="H9" s="8">
        <v>6.21</v>
      </c>
      <c r="I9" s="4">
        <v>1</v>
      </c>
    </row>
    <row r="10" spans="1:9" x14ac:dyDescent="0.2">
      <c r="A10" s="2">
        <v>8</v>
      </c>
      <c r="B10" s="1" t="s">
        <v>114</v>
      </c>
      <c r="C10" s="4">
        <v>5324</v>
      </c>
      <c r="D10" s="8">
        <v>3.99</v>
      </c>
      <c r="E10" s="4">
        <v>3541</v>
      </c>
      <c r="F10" s="8">
        <v>6.16</v>
      </c>
      <c r="G10" s="4">
        <v>1458</v>
      </c>
      <c r="H10" s="8">
        <v>1.94</v>
      </c>
      <c r="I10" s="4">
        <v>10</v>
      </c>
    </row>
    <row r="11" spans="1:9" x14ac:dyDescent="0.2">
      <c r="A11" s="2">
        <v>9</v>
      </c>
      <c r="B11" s="1" t="s">
        <v>104</v>
      </c>
      <c r="C11" s="4">
        <v>4887</v>
      </c>
      <c r="D11" s="8">
        <v>3.67</v>
      </c>
      <c r="E11" s="4">
        <v>3209</v>
      </c>
      <c r="F11" s="8">
        <v>5.58</v>
      </c>
      <c r="G11" s="4">
        <v>1672</v>
      </c>
      <c r="H11" s="8">
        <v>2.23</v>
      </c>
      <c r="I11" s="4">
        <v>6</v>
      </c>
    </row>
    <row r="12" spans="1:9" x14ac:dyDescent="0.2">
      <c r="A12" s="2">
        <v>10</v>
      </c>
      <c r="B12" s="1" t="s">
        <v>115</v>
      </c>
      <c r="C12" s="4">
        <v>4875</v>
      </c>
      <c r="D12" s="8">
        <v>3.66</v>
      </c>
      <c r="E12" s="4">
        <v>4183</v>
      </c>
      <c r="F12" s="8">
        <v>7.28</v>
      </c>
      <c r="G12" s="4">
        <v>690</v>
      </c>
      <c r="H12" s="8">
        <v>0.92</v>
      </c>
      <c r="I12" s="4">
        <v>1</v>
      </c>
    </row>
    <row r="13" spans="1:9" x14ac:dyDescent="0.2">
      <c r="A13" s="2">
        <v>11</v>
      </c>
      <c r="B13" s="1" t="s">
        <v>109</v>
      </c>
      <c r="C13" s="4">
        <v>3884</v>
      </c>
      <c r="D13" s="8">
        <v>2.91</v>
      </c>
      <c r="E13" s="4">
        <v>2238</v>
      </c>
      <c r="F13" s="8">
        <v>3.89</v>
      </c>
      <c r="G13" s="4">
        <v>1642</v>
      </c>
      <c r="H13" s="8">
        <v>2.19</v>
      </c>
      <c r="I13" s="4">
        <v>4</v>
      </c>
    </row>
    <row r="14" spans="1:9" x14ac:dyDescent="0.2">
      <c r="A14" s="2">
        <v>12</v>
      </c>
      <c r="B14" s="1" t="s">
        <v>105</v>
      </c>
      <c r="C14" s="4">
        <v>3566</v>
      </c>
      <c r="D14" s="8">
        <v>2.68</v>
      </c>
      <c r="E14" s="4">
        <v>1664</v>
      </c>
      <c r="F14" s="8">
        <v>2.9</v>
      </c>
      <c r="G14" s="4">
        <v>1902</v>
      </c>
      <c r="H14" s="8">
        <v>2.5299999999999998</v>
      </c>
      <c r="I14" s="4">
        <v>0</v>
      </c>
    </row>
    <row r="15" spans="1:9" x14ac:dyDescent="0.2">
      <c r="A15" s="2">
        <v>13</v>
      </c>
      <c r="B15" s="1" t="s">
        <v>100</v>
      </c>
      <c r="C15" s="4">
        <v>2888</v>
      </c>
      <c r="D15" s="8">
        <v>2.17</v>
      </c>
      <c r="E15" s="4">
        <v>748</v>
      </c>
      <c r="F15" s="8">
        <v>1.3</v>
      </c>
      <c r="G15" s="4">
        <v>2140</v>
      </c>
      <c r="H15" s="8">
        <v>2.85</v>
      </c>
      <c r="I15" s="4">
        <v>0</v>
      </c>
    </row>
    <row r="16" spans="1:9" x14ac:dyDescent="0.2">
      <c r="A16" s="2">
        <v>14</v>
      </c>
      <c r="B16" s="1" t="s">
        <v>110</v>
      </c>
      <c r="C16" s="4">
        <v>2751</v>
      </c>
      <c r="D16" s="8">
        <v>2.06</v>
      </c>
      <c r="E16" s="4">
        <v>833</v>
      </c>
      <c r="F16" s="8">
        <v>1.45</v>
      </c>
      <c r="G16" s="4">
        <v>1895</v>
      </c>
      <c r="H16" s="8">
        <v>2.52</v>
      </c>
      <c r="I16" s="4">
        <v>2</v>
      </c>
    </row>
    <row r="17" spans="1:9" x14ac:dyDescent="0.2">
      <c r="A17" s="2">
        <v>15</v>
      </c>
      <c r="B17" s="1" t="s">
        <v>103</v>
      </c>
      <c r="C17" s="4">
        <v>2547</v>
      </c>
      <c r="D17" s="8">
        <v>1.91</v>
      </c>
      <c r="E17" s="4">
        <v>1041</v>
      </c>
      <c r="F17" s="8">
        <v>1.81</v>
      </c>
      <c r="G17" s="4">
        <v>1506</v>
      </c>
      <c r="H17" s="8">
        <v>2.0099999999999998</v>
      </c>
      <c r="I17" s="4">
        <v>0</v>
      </c>
    </row>
    <row r="18" spans="1:9" x14ac:dyDescent="0.2">
      <c r="A18" s="2">
        <v>16</v>
      </c>
      <c r="B18" s="1" t="s">
        <v>107</v>
      </c>
      <c r="C18" s="4">
        <v>2448</v>
      </c>
      <c r="D18" s="8">
        <v>1.84</v>
      </c>
      <c r="E18" s="4">
        <v>206</v>
      </c>
      <c r="F18" s="8">
        <v>0.36</v>
      </c>
      <c r="G18" s="4">
        <v>2241</v>
      </c>
      <c r="H18" s="8">
        <v>2.99</v>
      </c>
      <c r="I18" s="4">
        <v>1</v>
      </c>
    </row>
    <row r="19" spans="1:9" x14ac:dyDescent="0.2">
      <c r="A19" s="2">
        <v>17</v>
      </c>
      <c r="B19" s="1" t="s">
        <v>113</v>
      </c>
      <c r="C19" s="4">
        <v>2207</v>
      </c>
      <c r="D19" s="8">
        <v>1.66</v>
      </c>
      <c r="E19" s="4">
        <v>982</v>
      </c>
      <c r="F19" s="8">
        <v>1.71</v>
      </c>
      <c r="G19" s="4">
        <v>1218</v>
      </c>
      <c r="H19" s="8">
        <v>1.62</v>
      </c>
      <c r="I19" s="4">
        <v>4</v>
      </c>
    </row>
    <row r="20" spans="1:9" x14ac:dyDescent="0.2">
      <c r="A20" s="2">
        <v>18</v>
      </c>
      <c r="B20" s="1" t="s">
        <v>116</v>
      </c>
      <c r="C20" s="4">
        <v>1940</v>
      </c>
      <c r="D20" s="8">
        <v>1.46</v>
      </c>
      <c r="E20" s="4">
        <v>1172</v>
      </c>
      <c r="F20" s="8">
        <v>2.04</v>
      </c>
      <c r="G20" s="4">
        <v>768</v>
      </c>
      <c r="H20" s="8">
        <v>1.02</v>
      </c>
      <c r="I20" s="4">
        <v>0</v>
      </c>
    </row>
    <row r="21" spans="1:9" x14ac:dyDescent="0.2">
      <c r="A21" s="2">
        <v>19</v>
      </c>
      <c r="B21" s="1" t="s">
        <v>101</v>
      </c>
      <c r="C21" s="4">
        <v>1887</v>
      </c>
      <c r="D21" s="8">
        <v>1.42</v>
      </c>
      <c r="E21" s="4">
        <v>289</v>
      </c>
      <c r="F21" s="8">
        <v>0.5</v>
      </c>
      <c r="G21" s="4">
        <v>1598</v>
      </c>
      <c r="H21" s="8">
        <v>2.13</v>
      </c>
      <c r="I21" s="4">
        <v>0</v>
      </c>
    </row>
    <row r="22" spans="1:9" x14ac:dyDescent="0.2">
      <c r="A22" s="2">
        <v>20</v>
      </c>
      <c r="B22" s="1" t="s">
        <v>102</v>
      </c>
      <c r="C22" s="4">
        <v>1860</v>
      </c>
      <c r="D22" s="8">
        <v>1.4</v>
      </c>
      <c r="E22" s="4">
        <v>157</v>
      </c>
      <c r="F22" s="8">
        <v>0.27</v>
      </c>
      <c r="G22" s="4">
        <v>1703</v>
      </c>
      <c r="H22" s="8">
        <v>2.27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108</v>
      </c>
      <c r="C25" s="4">
        <v>2192</v>
      </c>
      <c r="D25" s="8">
        <v>10.51</v>
      </c>
      <c r="E25" s="4">
        <v>512</v>
      </c>
      <c r="F25" s="8">
        <v>6.98</v>
      </c>
      <c r="G25" s="4">
        <v>1678</v>
      </c>
      <c r="H25" s="8">
        <v>12.48</v>
      </c>
      <c r="I25" s="4">
        <v>1</v>
      </c>
    </row>
    <row r="26" spans="1:9" x14ac:dyDescent="0.2">
      <c r="A26" s="2">
        <v>2</v>
      </c>
      <c r="B26" s="1" t="s">
        <v>112</v>
      </c>
      <c r="C26" s="4">
        <v>1916</v>
      </c>
      <c r="D26" s="8">
        <v>9.18</v>
      </c>
      <c r="E26" s="4">
        <v>1418</v>
      </c>
      <c r="F26" s="8">
        <v>19.32</v>
      </c>
      <c r="G26" s="4">
        <v>498</v>
      </c>
      <c r="H26" s="8">
        <v>3.7</v>
      </c>
      <c r="I26" s="4">
        <v>0</v>
      </c>
    </row>
    <row r="27" spans="1:9" x14ac:dyDescent="0.2">
      <c r="A27" s="2">
        <v>3</v>
      </c>
      <c r="B27" s="1" t="s">
        <v>111</v>
      </c>
      <c r="C27" s="4">
        <v>1631</v>
      </c>
      <c r="D27" s="8">
        <v>7.82</v>
      </c>
      <c r="E27" s="4">
        <v>1259</v>
      </c>
      <c r="F27" s="8">
        <v>17.16</v>
      </c>
      <c r="G27" s="4">
        <v>372</v>
      </c>
      <c r="H27" s="8">
        <v>2.77</v>
      </c>
      <c r="I27" s="4">
        <v>0</v>
      </c>
    </row>
    <row r="28" spans="1:9" x14ac:dyDescent="0.2">
      <c r="A28" s="2">
        <v>4</v>
      </c>
      <c r="B28" s="1" t="s">
        <v>97</v>
      </c>
      <c r="C28" s="4">
        <v>1089</v>
      </c>
      <c r="D28" s="8">
        <v>5.22</v>
      </c>
      <c r="E28" s="4">
        <v>129</v>
      </c>
      <c r="F28" s="8">
        <v>1.76</v>
      </c>
      <c r="G28" s="4">
        <v>960</v>
      </c>
      <c r="H28" s="8">
        <v>7.14</v>
      </c>
      <c r="I28" s="4">
        <v>0</v>
      </c>
    </row>
    <row r="29" spans="1:9" x14ac:dyDescent="0.2">
      <c r="A29" s="2">
        <v>5</v>
      </c>
      <c r="B29" s="1" t="s">
        <v>106</v>
      </c>
      <c r="C29" s="4">
        <v>1071</v>
      </c>
      <c r="D29" s="8">
        <v>5.13</v>
      </c>
      <c r="E29" s="4">
        <v>418</v>
      </c>
      <c r="F29" s="8">
        <v>5.7</v>
      </c>
      <c r="G29" s="4">
        <v>653</v>
      </c>
      <c r="H29" s="8">
        <v>4.8600000000000003</v>
      </c>
      <c r="I29" s="4">
        <v>0</v>
      </c>
    </row>
    <row r="30" spans="1:9" x14ac:dyDescent="0.2">
      <c r="A30" s="2">
        <v>6</v>
      </c>
      <c r="B30" s="1" t="s">
        <v>98</v>
      </c>
      <c r="C30" s="4">
        <v>989</v>
      </c>
      <c r="D30" s="8">
        <v>4.74</v>
      </c>
      <c r="E30" s="4">
        <v>189</v>
      </c>
      <c r="F30" s="8">
        <v>2.58</v>
      </c>
      <c r="G30" s="4">
        <v>799</v>
      </c>
      <c r="H30" s="8">
        <v>5.94</v>
      </c>
      <c r="I30" s="4">
        <v>1</v>
      </c>
    </row>
    <row r="31" spans="1:9" x14ac:dyDescent="0.2">
      <c r="A31" s="2">
        <v>7</v>
      </c>
      <c r="B31" s="1" t="s">
        <v>114</v>
      </c>
      <c r="C31" s="4">
        <v>957</v>
      </c>
      <c r="D31" s="8">
        <v>4.59</v>
      </c>
      <c r="E31" s="4">
        <v>544</v>
      </c>
      <c r="F31" s="8">
        <v>7.41</v>
      </c>
      <c r="G31" s="4">
        <v>361</v>
      </c>
      <c r="H31" s="8">
        <v>2.69</v>
      </c>
      <c r="I31" s="4">
        <v>1</v>
      </c>
    </row>
    <row r="32" spans="1:9" x14ac:dyDescent="0.2">
      <c r="A32" s="2">
        <v>8</v>
      </c>
      <c r="B32" s="1" t="s">
        <v>109</v>
      </c>
      <c r="C32" s="4">
        <v>942</v>
      </c>
      <c r="D32" s="8">
        <v>4.51</v>
      </c>
      <c r="E32" s="4">
        <v>503</v>
      </c>
      <c r="F32" s="8">
        <v>6.85</v>
      </c>
      <c r="G32" s="4">
        <v>439</v>
      </c>
      <c r="H32" s="8">
        <v>3.27</v>
      </c>
      <c r="I32" s="4">
        <v>0</v>
      </c>
    </row>
    <row r="33" spans="1:9" x14ac:dyDescent="0.2">
      <c r="A33" s="2">
        <v>9</v>
      </c>
      <c r="B33" s="1" t="s">
        <v>115</v>
      </c>
      <c r="C33" s="4">
        <v>855</v>
      </c>
      <c r="D33" s="8">
        <v>4.0999999999999996</v>
      </c>
      <c r="E33" s="4">
        <v>729</v>
      </c>
      <c r="F33" s="8">
        <v>9.93</v>
      </c>
      <c r="G33" s="4">
        <v>126</v>
      </c>
      <c r="H33" s="8">
        <v>0.94</v>
      </c>
      <c r="I33" s="4">
        <v>0</v>
      </c>
    </row>
    <row r="34" spans="1:9" x14ac:dyDescent="0.2">
      <c r="A34" s="2">
        <v>10</v>
      </c>
      <c r="B34" s="1" t="s">
        <v>99</v>
      </c>
      <c r="C34" s="4">
        <v>838</v>
      </c>
      <c r="D34" s="8">
        <v>4.0199999999999996</v>
      </c>
      <c r="E34" s="4">
        <v>74</v>
      </c>
      <c r="F34" s="8">
        <v>1.01</v>
      </c>
      <c r="G34" s="4">
        <v>764</v>
      </c>
      <c r="H34" s="8">
        <v>5.68</v>
      </c>
      <c r="I34" s="4">
        <v>0</v>
      </c>
    </row>
    <row r="35" spans="1:9" x14ac:dyDescent="0.2">
      <c r="A35" s="2">
        <v>11</v>
      </c>
      <c r="B35" s="1" t="s">
        <v>104</v>
      </c>
      <c r="C35" s="4">
        <v>654</v>
      </c>
      <c r="D35" s="8">
        <v>3.13</v>
      </c>
      <c r="E35" s="4">
        <v>328</v>
      </c>
      <c r="F35" s="8">
        <v>4.47</v>
      </c>
      <c r="G35" s="4">
        <v>324</v>
      </c>
      <c r="H35" s="8">
        <v>2.41</v>
      </c>
      <c r="I35" s="4">
        <v>2</v>
      </c>
    </row>
    <row r="36" spans="1:9" x14ac:dyDescent="0.2">
      <c r="A36" s="2">
        <v>12</v>
      </c>
      <c r="B36" s="1" t="s">
        <v>110</v>
      </c>
      <c r="C36" s="4">
        <v>611</v>
      </c>
      <c r="D36" s="8">
        <v>2.93</v>
      </c>
      <c r="E36" s="4">
        <v>129</v>
      </c>
      <c r="F36" s="8">
        <v>1.76</v>
      </c>
      <c r="G36" s="4">
        <v>477</v>
      </c>
      <c r="H36" s="8">
        <v>3.55</v>
      </c>
      <c r="I36" s="4">
        <v>2</v>
      </c>
    </row>
    <row r="37" spans="1:9" x14ac:dyDescent="0.2">
      <c r="A37" s="2">
        <v>13</v>
      </c>
      <c r="B37" s="1" t="s">
        <v>107</v>
      </c>
      <c r="C37" s="4">
        <v>516</v>
      </c>
      <c r="D37" s="8">
        <v>2.4700000000000002</v>
      </c>
      <c r="E37" s="4">
        <v>23</v>
      </c>
      <c r="F37" s="8">
        <v>0.31</v>
      </c>
      <c r="G37" s="4">
        <v>493</v>
      </c>
      <c r="H37" s="8">
        <v>3.67</v>
      </c>
      <c r="I37" s="4">
        <v>0</v>
      </c>
    </row>
    <row r="38" spans="1:9" x14ac:dyDescent="0.2">
      <c r="A38" s="2">
        <v>14</v>
      </c>
      <c r="B38" s="1" t="s">
        <v>103</v>
      </c>
      <c r="C38" s="4">
        <v>432</v>
      </c>
      <c r="D38" s="8">
        <v>2.0699999999999998</v>
      </c>
      <c r="E38" s="4">
        <v>129</v>
      </c>
      <c r="F38" s="8">
        <v>1.76</v>
      </c>
      <c r="G38" s="4">
        <v>303</v>
      </c>
      <c r="H38" s="8">
        <v>2.25</v>
      </c>
      <c r="I38" s="4">
        <v>0</v>
      </c>
    </row>
    <row r="39" spans="1:9" x14ac:dyDescent="0.2">
      <c r="A39" s="2">
        <v>15</v>
      </c>
      <c r="B39" s="1" t="s">
        <v>105</v>
      </c>
      <c r="C39" s="4">
        <v>411</v>
      </c>
      <c r="D39" s="8">
        <v>1.97</v>
      </c>
      <c r="E39" s="4">
        <v>153</v>
      </c>
      <c r="F39" s="8">
        <v>2.09</v>
      </c>
      <c r="G39" s="4">
        <v>258</v>
      </c>
      <c r="H39" s="8">
        <v>1.92</v>
      </c>
      <c r="I39" s="4">
        <v>0</v>
      </c>
    </row>
    <row r="40" spans="1:9" x14ac:dyDescent="0.2">
      <c r="A40" s="2">
        <v>16</v>
      </c>
      <c r="B40" s="1" t="s">
        <v>118</v>
      </c>
      <c r="C40" s="4">
        <v>389</v>
      </c>
      <c r="D40" s="8">
        <v>1.86</v>
      </c>
      <c r="E40" s="4">
        <v>3</v>
      </c>
      <c r="F40" s="8">
        <v>0.04</v>
      </c>
      <c r="G40" s="4">
        <v>380</v>
      </c>
      <c r="H40" s="8">
        <v>2.83</v>
      </c>
      <c r="I40" s="4">
        <v>5</v>
      </c>
    </row>
    <row r="41" spans="1:9" x14ac:dyDescent="0.2">
      <c r="A41" s="2">
        <v>17</v>
      </c>
      <c r="B41" s="1" t="s">
        <v>102</v>
      </c>
      <c r="C41" s="4">
        <v>381</v>
      </c>
      <c r="D41" s="8">
        <v>1.83</v>
      </c>
      <c r="E41" s="4">
        <v>12</v>
      </c>
      <c r="F41" s="8">
        <v>0.16</v>
      </c>
      <c r="G41" s="4">
        <v>369</v>
      </c>
      <c r="H41" s="8">
        <v>2.75</v>
      </c>
      <c r="I41" s="4">
        <v>0</v>
      </c>
    </row>
    <row r="42" spans="1:9" x14ac:dyDescent="0.2">
      <c r="A42" s="2">
        <v>18</v>
      </c>
      <c r="B42" s="1" t="s">
        <v>117</v>
      </c>
      <c r="C42" s="4">
        <v>357</v>
      </c>
      <c r="D42" s="8">
        <v>1.71</v>
      </c>
      <c r="E42" s="4">
        <v>40</v>
      </c>
      <c r="F42" s="8">
        <v>0.55000000000000004</v>
      </c>
      <c r="G42" s="4">
        <v>316</v>
      </c>
      <c r="H42" s="8">
        <v>2.35</v>
      </c>
      <c r="I42" s="4">
        <v>1</v>
      </c>
    </row>
    <row r="43" spans="1:9" x14ac:dyDescent="0.2">
      <c r="A43" s="2">
        <v>19</v>
      </c>
      <c r="B43" s="1" t="s">
        <v>113</v>
      </c>
      <c r="C43" s="4">
        <v>325</v>
      </c>
      <c r="D43" s="8">
        <v>1.56</v>
      </c>
      <c r="E43" s="4">
        <v>101</v>
      </c>
      <c r="F43" s="8">
        <v>1.38</v>
      </c>
      <c r="G43" s="4">
        <v>223</v>
      </c>
      <c r="H43" s="8">
        <v>1.66</v>
      </c>
      <c r="I43" s="4">
        <v>0</v>
      </c>
    </row>
    <row r="44" spans="1:9" x14ac:dyDescent="0.2">
      <c r="A44" s="2">
        <v>20</v>
      </c>
      <c r="B44" s="1" t="s">
        <v>119</v>
      </c>
      <c r="C44" s="4">
        <v>292</v>
      </c>
      <c r="D44" s="8">
        <v>1.4</v>
      </c>
      <c r="E44" s="4">
        <v>14</v>
      </c>
      <c r="F44" s="8">
        <v>0.19</v>
      </c>
      <c r="G44" s="4">
        <v>271</v>
      </c>
      <c r="H44" s="8">
        <v>2.02</v>
      </c>
      <c r="I44" s="4">
        <v>7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98</v>
      </c>
      <c r="C47" s="4">
        <v>109</v>
      </c>
      <c r="D47" s="8">
        <v>9.4</v>
      </c>
      <c r="E47" s="4">
        <v>13</v>
      </c>
      <c r="F47" s="8">
        <v>3.61</v>
      </c>
      <c r="G47" s="4">
        <v>96</v>
      </c>
      <c r="H47" s="8">
        <v>12.08</v>
      </c>
      <c r="I47" s="4">
        <v>0</v>
      </c>
    </row>
    <row r="48" spans="1:9" x14ac:dyDescent="0.2">
      <c r="A48" s="2">
        <v>2</v>
      </c>
      <c r="B48" s="1" t="s">
        <v>97</v>
      </c>
      <c r="C48" s="4">
        <v>97</v>
      </c>
      <c r="D48" s="8">
        <v>8.36</v>
      </c>
      <c r="E48" s="4">
        <v>13</v>
      </c>
      <c r="F48" s="8">
        <v>3.61</v>
      </c>
      <c r="G48" s="4">
        <v>84</v>
      </c>
      <c r="H48" s="8">
        <v>10.57</v>
      </c>
      <c r="I48" s="4">
        <v>0</v>
      </c>
    </row>
    <row r="49" spans="1:9" x14ac:dyDescent="0.2">
      <c r="A49" s="2">
        <v>3</v>
      </c>
      <c r="B49" s="1" t="s">
        <v>108</v>
      </c>
      <c r="C49" s="4">
        <v>86</v>
      </c>
      <c r="D49" s="8">
        <v>7.41</v>
      </c>
      <c r="E49" s="4">
        <v>20</v>
      </c>
      <c r="F49" s="8">
        <v>5.56</v>
      </c>
      <c r="G49" s="4">
        <v>66</v>
      </c>
      <c r="H49" s="8">
        <v>8.3000000000000007</v>
      </c>
      <c r="I49" s="4">
        <v>0</v>
      </c>
    </row>
    <row r="50" spans="1:9" x14ac:dyDescent="0.2">
      <c r="A50" s="2">
        <v>4</v>
      </c>
      <c r="B50" s="1" t="s">
        <v>112</v>
      </c>
      <c r="C50" s="4">
        <v>83</v>
      </c>
      <c r="D50" s="8">
        <v>7.16</v>
      </c>
      <c r="E50" s="4">
        <v>65</v>
      </c>
      <c r="F50" s="8">
        <v>18.059999999999999</v>
      </c>
      <c r="G50" s="4">
        <v>18</v>
      </c>
      <c r="H50" s="8">
        <v>2.2599999999999998</v>
      </c>
      <c r="I50" s="4">
        <v>0</v>
      </c>
    </row>
    <row r="51" spans="1:9" x14ac:dyDescent="0.2">
      <c r="A51" s="2">
        <v>5</v>
      </c>
      <c r="B51" s="1" t="s">
        <v>99</v>
      </c>
      <c r="C51" s="4">
        <v>78</v>
      </c>
      <c r="D51" s="8">
        <v>6.72</v>
      </c>
      <c r="E51" s="4">
        <v>4</v>
      </c>
      <c r="F51" s="8">
        <v>1.1100000000000001</v>
      </c>
      <c r="G51" s="4">
        <v>74</v>
      </c>
      <c r="H51" s="8">
        <v>9.31</v>
      </c>
      <c r="I51" s="4">
        <v>0</v>
      </c>
    </row>
    <row r="52" spans="1:9" x14ac:dyDescent="0.2">
      <c r="A52" s="2">
        <v>6</v>
      </c>
      <c r="B52" s="1" t="s">
        <v>106</v>
      </c>
      <c r="C52" s="4">
        <v>52</v>
      </c>
      <c r="D52" s="8">
        <v>4.4800000000000004</v>
      </c>
      <c r="E52" s="4">
        <v>21</v>
      </c>
      <c r="F52" s="8">
        <v>5.83</v>
      </c>
      <c r="G52" s="4">
        <v>31</v>
      </c>
      <c r="H52" s="8">
        <v>3.9</v>
      </c>
      <c r="I52" s="4">
        <v>0</v>
      </c>
    </row>
    <row r="53" spans="1:9" x14ac:dyDescent="0.2">
      <c r="A53" s="2">
        <v>7</v>
      </c>
      <c r="B53" s="1" t="s">
        <v>114</v>
      </c>
      <c r="C53" s="4">
        <v>48</v>
      </c>
      <c r="D53" s="8">
        <v>4.1399999999999997</v>
      </c>
      <c r="E53" s="4">
        <v>34</v>
      </c>
      <c r="F53" s="8">
        <v>9.44</v>
      </c>
      <c r="G53" s="4">
        <v>10</v>
      </c>
      <c r="H53" s="8">
        <v>1.26</v>
      </c>
      <c r="I53" s="4">
        <v>0</v>
      </c>
    </row>
    <row r="54" spans="1:9" x14ac:dyDescent="0.2">
      <c r="A54" s="2">
        <v>8</v>
      </c>
      <c r="B54" s="1" t="s">
        <v>111</v>
      </c>
      <c r="C54" s="4">
        <v>44</v>
      </c>
      <c r="D54" s="8">
        <v>3.79</v>
      </c>
      <c r="E54" s="4">
        <v>37</v>
      </c>
      <c r="F54" s="8">
        <v>10.28</v>
      </c>
      <c r="G54" s="4">
        <v>7</v>
      </c>
      <c r="H54" s="8">
        <v>0.88</v>
      </c>
      <c r="I54" s="4">
        <v>0</v>
      </c>
    </row>
    <row r="55" spans="1:9" x14ac:dyDescent="0.2">
      <c r="A55" s="2">
        <v>9</v>
      </c>
      <c r="B55" s="1" t="s">
        <v>105</v>
      </c>
      <c r="C55" s="4">
        <v>41</v>
      </c>
      <c r="D55" s="8">
        <v>3.53</v>
      </c>
      <c r="E55" s="4">
        <v>15</v>
      </c>
      <c r="F55" s="8">
        <v>4.17</v>
      </c>
      <c r="G55" s="4">
        <v>26</v>
      </c>
      <c r="H55" s="8">
        <v>3.27</v>
      </c>
      <c r="I55" s="4">
        <v>0</v>
      </c>
    </row>
    <row r="56" spans="1:9" x14ac:dyDescent="0.2">
      <c r="A56" s="2">
        <v>10</v>
      </c>
      <c r="B56" s="1" t="s">
        <v>109</v>
      </c>
      <c r="C56" s="4">
        <v>31</v>
      </c>
      <c r="D56" s="8">
        <v>2.67</v>
      </c>
      <c r="E56" s="4">
        <v>13</v>
      </c>
      <c r="F56" s="8">
        <v>3.61</v>
      </c>
      <c r="G56" s="4">
        <v>18</v>
      </c>
      <c r="H56" s="8">
        <v>2.2599999999999998</v>
      </c>
      <c r="I56" s="4">
        <v>0</v>
      </c>
    </row>
    <row r="57" spans="1:9" x14ac:dyDescent="0.2">
      <c r="A57" s="2">
        <v>11</v>
      </c>
      <c r="B57" s="1" t="s">
        <v>115</v>
      </c>
      <c r="C57" s="4">
        <v>29</v>
      </c>
      <c r="D57" s="8">
        <v>2.5</v>
      </c>
      <c r="E57" s="4">
        <v>28</v>
      </c>
      <c r="F57" s="8">
        <v>7.78</v>
      </c>
      <c r="G57" s="4">
        <v>1</v>
      </c>
      <c r="H57" s="8">
        <v>0.13</v>
      </c>
      <c r="I57" s="4">
        <v>0</v>
      </c>
    </row>
    <row r="58" spans="1:9" x14ac:dyDescent="0.2">
      <c r="A58" s="2">
        <v>12</v>
      </c>
      <c r="B58" s="1" t="s">
        <v>118</v>
      </c>
      <c r="C58" s="4">
        <v>28</v>
      </c>
      <c r="D58" s="8">
        <v>2.41</v>
      </c>
      <c r="E58" s="4">
        <v>0</v>
      </c>
      <c r="F58" s="8">
        <v>0</v>
      </c>
      <c r="G58" s="4">
        <v>28</v>
      </c>
      <c r="H58" s="8">
        <v>3.52</v>
      </c>
      <c r="I58" s="4">
        <v>0</v>
      </c>
    </row>
    <row r="59" spans="1:9" x14ac:dyDescent="0.2">
      <c r="A59" s="2">
        <v>13</v>
      </c>
      <c r="B59" s="1" t="s">
        <v>100</v>
      </c>
      <c r="C59" s="4">
        <v>27</v>
      </c>
      <c r="D59" s="8">
        <v>2.33</v>
      </c>
      <c r="E59" s="4">
        <v>9</v>
      </c>
      <c r="F59" s="8">
        <v>2.5</v>
      </c>
      <c r="G59" s="4">
        <v>18</v>
      </c>
      <c r="H59" s="8">
        <v>2.2599999999999998</v>
      </c>
      <c r="I59" s="4">
        <v>0</v>
      </c>
    </row>
    <row r="60" spans="1:9" x14ac:dyDescent="0.2">
      <c r="A60" s="2">
        <v>13</v>
      </c>
      <c r="B60" s="1" t="s">
        <v>104</v>
      </c>
      <c r="C60" s="4">
        <v>27</v>
      </c>
      <c r="D60" s="8">
        <v>2.33</v>
      </c>
      <c r="E60" s="4">
        <v>12</v>
      </c>
      <c r="F60" s="8">
        <v>3.33</v>
      </c>
      <c r="G60" s="4">
        <v>14</v>
      </c>
      <c r="H60" s="8">
        <v>1.76</v>
      </c>
      <c r="I60" s="4">
        <v>1</v>
      </c>
    </row>
    <row r="61" spans="1:9" x14ac:dyDescent="0.2">
      <c r="A61" s="2">
        <v>13</v>
      </c>
      <c r="B61" s="1" t="s">
        <v>110</v>
      </c>
      <c r="C61" s="4">
        <v>27</v>
      </c>
      <c r="D61" s="8">
        <v>2.33</v>
      </c>
      <c r="E61" s="4">
        <v>7</v>
      </c>
      <c r="F61" s="8">
        <v>1.94</v>
      </c>
      <c r="G61" s="4">
        <v>20</v>
      </c>
      <c r="H61" s="8">
        <v>2.52</v>
      </c>
      <c r="I61" s="4">
        <v>0</v>
      </c>
    </row>
    <row r="62" spans="1:9" x14ac:dyDescent="0.2">
      <c r="A62" s="2">
        <v>16</v>
      </c>
      <c r="B62" s="1" t="s">
        <v>117</v>
      </c>
      <c r="C62" s="4">
        <v>22</v>
      </c>
      <c r="D62" s="8">
        <v>1.9</v>
      </c>
      <c r="E62" s="4">
        <v>3</v>
      </c>
      <c r="F62" s="8">
        <v>0.83</v>
      </c>
      <c r="G62" s="4">
        <v>19</v>
      </c>
      <c r="H62" s="8">
        <v>2.39</v>
      </c>
      <c r="I62" s="4">
        <v>0</v>
      </c>
    </row>
    <row r="63" spans="1:9" x14ac:dyDescent="0.2">
      <c r="A63" s="2">
        <v>17</v>
      </c>
      <c r="B63" s="1" t="s">
        <v>120</v>
      </c>
      <c r="C63" s="4">
        <v>20</v>
      </c>
      <c r="D63" s="8">
        <v>1.72</v>
      </c>
      <c r="E63" s="4">
        <v>6</v>
      </c>
      <c r="F63" s="8">
        <v>1.67</v>
      </c>
      <c r="G63" s="4">
        <v>14</v>
      </c>
      <c r="H63" s="8">
        <v>1.76</v>
      </c>
      <c r="I63" s="4">
        <v>0</v>
      </c>
    </row>
    <row r="64" spans="1:9" x14ac:dyDescent="0.2">
      <c r="A64" s="2">
        <v>17</v>
      </c>
      <c r="B64" s="1" t="s">
        <v>116</v>
      </c>
      <c r="C64" s="4">
        <v>20</v>
      </c>
      <c r="D64" s="8">
        <v>1.72</v>
      </c>
      <c r="E64" s="4">
        <v>9</v>
      </c>
      <c r="F64" s="8">
        <v>2.5</v>
      </c>
      <c r="G64" s="4">
        <v>11</v>
      </c>
      <c r="H64" s="8">
        <v>1.38</v>
      </c>
      <c r="I64" s="4">
        <v>0</v>
      </c>
    </row>
    <row r="65" spans="1:9" x14ac:dyDescent="0.2">
      <c r="A65" s="2">
        <v>19</v>
      </c>
      <c r="B65" s="1" t="s">
        <v>107</v>
      </c>
      <c r="C65" s="4">
        <v>19</v>
      </c>
      <c r="D65" s="8">
        <v>1.64</v>
      </c>
      <c r="E65" s="4">
        <v>0</v>
      </c>
      <c r="F65" s="8">
        <v>0</v>
      </c>
      <c r="G65" s="4">
        <v>19</v>
      </c>
      <c r="H65" s="8">
        <v>2.39</v>
      </c>
      <c r="I65" s="4">
        <v>0</v>
      </c>
    </row>
    <row r="66" spans="1:9" x14ac:dyDescent="0.2">
      <c r="A66" s="2">
        <v>20</v>
      </c>
      <c r="B66" s="1" t="s">
        <v>119</v>
      </c>
      <c r="C66" s="4">
        <v>16</v>
      </c>
      <c r="D66" s="8">
        <v>1.38</v>
      </c>
      <c r="E66" s="4">
        <v>1</v>
      </c>
      <c r="F66" s="8">
        <v>0.28000000000000003</v>
      </c>
      <c r="G66" s="4">
        <v>15</v>
      </c>
      <c r="H66" s="8">
        <v>1.89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108</v>
      </c>
      <c r="C69" s="4">
        <v>253</v>
      </c>
      <c r="D69" s="8">
        <v>11.29</v>
      </c>
      <c r="E69" s="4">
        <v>69</v>
      </c>
      <c r="F69" s="8">
        <v>8.4499999999999993</v>
      </c>
      <c r="G69" s="4">
        <v>183</v>
      </c>
      <c r="H69" s="8">
        <v>12.91</v>
      </c>
      <c r="I69" s="4">
        <v>0</v>
      </c>
    </row>
    <row r="70" spans="1:9" x14ac:dyDescent="0.2">
      <c r="A70" s="2">
        <v>2</v>
      </c>
      <c r="B70" s="1" t="s">
        <v>112</v>
      </c>
      <c r="C70" s="4">
        <v>224</v>
      </c>
      <c r="D70" s="8">
        <v>10</v>
      </c>
      <c r="E70" s="4">
        <v>169</v>
      </c>
      <c r="F70" s="8">
        <v>20.69</v>
      </c>
      <c r="G70" s="4">
        <v>55</v>
      </c>
      <c r="H70" s="8">
        <v>3.88</v>
      </c>
      <c r="I70" s="4">
        <v>0</v>
      </c>
    </row>
    <row r="71" spans="1:9" x14ac:dyDescent="0.2">
      <c r="A71" s="2">
        <v>3</v>
      </c>
      <c r="B71" s="1" t="s">
        <v>111</v>
      </c>
      <c r="C71" s="4">
        <v>183</v>
      </c>
      <c r="D71" s="8">
        <v>8.17</v>
      </c>
      <c r="E71" s="4">
        <v>145</v>
      </c>
      <c r="F71" s="8">
        <v>17.75</v>
      </c>
      <c r="G71" s="4">
        <v>38</v>
      </c>
      <c r="H71" s="8">
        <v>2.68</v>
      </c>
      <c r="I71" s="4">
        <v>0</v>
      </c>
    </row>
    <row r="72" spans="1:9" x14ac:dyDescent="0.2">
      <c r="A72" s="2">
        <v>4</v>
      </c>
      <c r="B72" s="1" t="s">
        <v>97</v>
      </c>
      <c r="C72" s="4">
        <v>129</v>
      </c>
      <c r="D72" s="8">
        <v>5.76</v>
      </c>
      <c r="E72" s="4">
        <v>12</v>
      </c>
      <c r="F72" s="8">
        <v>1.47</v>
      </c>
      <c r="G72" s="4">
        <v>117</v>
      </c>
      <c r="H72" s="8">
        <v>8.26</v>
      </c>
      <c r="I72" s="4">
        <v>0</v>
      </c>
    </row>
    <row r="73" spans="1:9" x14ac:dyDescent="0.2">
      <c r="A73" s="2">
        <v>5</v>
      </c>
      <c r="B73" s="1" t="s">
        <v>106</v>
      </c>
      <c r="C73" s="4">
        <v>121</v>
      </c>
      <c r="D73" s="8">
        <v>5.4</v>
      </c>
      <c r="E73" s="4">
        <v>48</v>
      </c>
      <c r="F73" s="8">
        <v>5.88</v>
      </c>
      <c r="G73" s="4">
        <v>73</v>
      </c>
      <c r="H73" s="8">
        <v>5.15</v>
      </c>
      <c r="I73" s="4">
        <v>0</v>
      </c>
    </row>
    <row r="74" spans="1:9" x14ac:dyDescent="0.2">
      <c r="A74" s="2">
        <v>6</v>
      </c>
      <c r="B74" s="1" t="s">
        <v>114</v>
      </c>
      <c r="C74" s="4">
        <v>109</v>
      </c>
      <c r="D74" s="8">
        <v>4.8600000000000003</v>
      </c>
      <c r="E74" s="4">
        <v>65</v>
      </c>
      <c r="F74" s="8">
        <v>7.96</v>
      </c>
      <c r="G74" s="4">
        <v>41</v>
      </c>
      <c r="H74" s="8">
        <v>2.89</v>
      </c>
      <c r="I74" s="4">
        <v>0</v>
      </c>
    </row>
    <row r="75" spans="1:9" x14ac:dyDescent="0.2">
      <c r="A75" s="2">
        <v>7</v>
      </c>
      <c r="B75" s="1" t="s">
        <v>115</v>
      </c>
      <c r="C75" s="4">
        <v>102</v>
      </c>
      <c r="D75" s="8">
        <v>4.55</v>
      </c>
      <c r="E75" s="4">
        <v>90</v>
      </c>
      <c r="F75" s="8">
        <v>11.02</v>
      </c>
      <c r="G75" s="4">
        <v>12</v>
      </c>
      <c r="H75" s="8">
        <v>0.85</v>
      </c>
      <c r="I75" s="4">
        <v>0</v>
      </c>
    </row>
    <row r="76" spans="1:9" x14ac:dyDescent="0.2">
      <c r="A76" s="2">
        <v>8</v>
      </c>
      <c r="B76" s="1" t="s">
        <v>98</v>
      </c>
      <c r="C76" s="4">
        <v>85</v>
      </c>
      <c r="D76" s="8">
        <v>3.79</v>
      </c>
      <c r="E76" s="4">
        <v>13</v>
      </c>
      <c r="F76" s="8">
        <v>1.59</v>
      </c>
      <c r="G76" s="4">
        <v>72</v>
      </c>
      <c r="H76" s="8">
        <v>5.08</v>
      </c>
      <c r="I76" s="4">
        <v>0</v>
      </c>
    </row>
    <row r="77" spans="1:9" x14ac:dyDescent="0.2">
      <c r="A77" s="2">
        <v>9</v>
      </c>
      <c r="B77" s="1" t="s">
        <v>99</v>
      </c>
      <c r="C77" s="4">
        <v>84</v>
      </c>
      <c r="D77" s="8">
        <v>3.75</v>
      </c>
      <c r="E77" s="4">
        <v>4</v>
      </c>
      <c r="F77" s="8">
        <v>0.49</v>
      </c>
      <c r="G77" s="4">
        <v>80</v>
      </c>
      <c r="H77" s="8">
        <v>5.65</v>
      </c>
      <c r="I77" s="4">
        <v>0</v>
      </c>
    </row>
    <row r="78" spans="1:9" x14ac:dyDescent="0.2">
      <c r="A78" s="2">
        <v>9</v>
      </c>
      <c r="B78" s="1" t="s">
        <v>109</v>
      </c>
      <c r="C78" s="4">
        <v>84</v>
      </c>
      <c r="D78" s="8">
        <v>3.75</v>
      </c>
      <c r="E78" s="4">
        <v>49</v>
      </c>
      <c r="F78" s="8">
        <v>6</v>
      </c>
      <c r="G78" s="4">
        <v>35</v>
      </c>
      <c r="H78" s="8">
        <v>2.4700000000000002</v>
      </c>
      <c r="I78" s="4">
        <v>0</v>
      </c>
    </row>
    <row r="79" spans="1:9" x14ac:dyDescent="0.2">
      <c r="A79" s="2">
        <v>11</v>
      </c>
      <c r="B79" s="1" t="s">
        <v>104</v>
      </c>
      <c r="C79" s="4">
        <v>67</v>
      </c>
      <c r="D79" s="8">
        <v>2.99</v>
      </c>
      <c r="E79" s="4">
        <v>34</v>
      </c>
      <c r="F79" s="8">
        <v>4.16</v>
      </c>
      <c r="G79" s="4">
        <v>33</v>
      </c>
      <c r="H79" s="8">
        <v>2.33</v>
      </c>
      <c r="I79" s="4">
        <v>0</v>
      </c>
    </row>
    <row r="80" spans="1:9" x14ac:dyDescent="0.2">
      <c r="A80" s="2">
        <v>12</v>
      </c>
      <c r="B80" s="1" t="s">
        <v>121</v>
      </c>
      <c r="C80" s="4">
        <v>66</v>
      </c>
      <c r="D80" s="8">
        <v>2.95</v>
      </c>
      <c r="E80" s="4">
        <v>4</v>
      </c>
      <c r="F80" s="8">
        <v>0.49</v>
      </c>
      <c r="G80" s="4">
        <v>62</v>
      </c>
      <c r="H80" s="8">
        <v>4.38</v>
      </c>
      <c r="I80" s="4">
        <v>0</v>
      </c>
    </row>
    <row r="81" spans="1:9" x14ac:dyDescent="0.2">
      <c r="A81" s="2">
        <v>13</v>
      </c>
      <c r="B81" s="1" t="s">
        <v>110</v>
      </c>
      <c r="C81" s="4">
        <v>60</v>
      </c>
      <c r="D81" s="8">
        <v>2.68</v>
      </c>
      <c r="E81" s="4">
        <v>16</v>
      </c>
      <c r="F81" s="8">
        <v>1.96</v>
      </c>
      <c r="G81" s="4">
        <v>43</v>
      </c>
      <c r="H81" s="8">
        <v>3.03</v>
      </c>
      <c r="I81" s="4">
        <v>0</v>
      </c>
    </row>
    <row r="82" spans="1:9" x14ac:dyDescent="0.2">
      <c r="A82" s="2">
        <v>14</v>
      </c>
      <c r="B82" s="1" t="s">
        <v>102</v>
      </c>
      <c r="C82" s="4">
        <v>53</v>
      </c>
      <c r="D82" s="8">
        <v>2.37</v>
      </c>
      <c r="E82" s="4">
        <v>1</v>
      </c>
      <c r="F82" s="8">
        <v>0.12</v>
      </c>
      <c r="G82" s="4">
        <v>52</v>
      </c>
      <c r="H82" s="8">
        <v>3.67</v>
      </c>
      <c r="I82" s="4">
        <v>0</v>
      </c>
    </row>
    <row r="83" spans="1:9" x14ac:dyDescent="0.2">
      <c r="A83" s="2">
        <v>14</v>
      </c>
      <c r="B83" s="1" t="s">
        <v>107</v>
      </c>
      <c r="C83" s="4">
        <v>53</v>
      </c>
      <c r="D83" s="8">
        <v>2.37</v>
      </c>
      <c r="E83" s="4">
        <v>2</v>
      </c>
      <c r="F83" s="8">
        <v>0.24</v>
      </c>
      <c r="G83" s="4">
        <v>51</v>
      </c>
      <c r="H83" s="8">
        <v>3.6</v>
      </c>
      <c r="I83" s="4">
        <v>0</v>
      </c>
    </row>
    <row r="84" spans="1:9" x14ac:dyDescent="0.2">
      <c r="A84" s="2">
        <v>16</v>
      </c>
      <c r="B84" s="1" t="s">
        <v>117</v>
      </c>
      <c r="C84" s="4">
        <v>47</v>
      </c>
      <c r="D84" s="8">
        <v>2.1</v>
      </c>
      <c r="E84" s="4">
        <v>2</v>
      </c>
      <c r="F84" s="8">
        <v>0.24</v>
      </c>
      <c r="G84" s="4">
        <v>45</v>
      </c>
      <c r="H84" s="8">
        <v>3.18</v>
      </c>
      <c r="I84" s="4">
        <v>0</v>
      </c>
    </row>
    <row r="85" spans="1:9" x14ac:dyDescent="0.2">
      <c r="A85" s="2">
        <v>17</v>
      </c>
      <c r="B85" s="1" t="s">
        <v>103</v>
      </c>
      <c r="C85" s="4">
        <v>40</v>
      </c>
      <c r="D85" s="8">
        <v>1.78</v>
      </c>
      <c r="E85" s="4">
        <v>18</v>
      </c>
      <c r="F85" s="8">
        <v>2.2000000000000002</v>
      </c>
      <c r="G85" s="4">
        <v>22</v>
      </c>
      <c r="H85" s="8">
        <v>1.55</v>
      </c>
      <c r="I85" s="4">
        <v>0</v>
      </c>
    </row>
    <row r="86" spans="1:9" x14ac:dyDescent="0.2">
      <c r="A86" s="2">
        <v>18</v>
      </c>
      <c r="B86" s="1" t="s">
        <v>105</v>
      </c>
      <c r="C86" s="4">
        <v>37</v>
      </c>
      <c r="D86" s="8">
        <v>1.65</v>
      </c>
      <c r="E86" s="4">
        <v>13</v>
      </c>
      <c r="F86" s="8">
        <v>1.59</v>
      </c>
      <c r="G86" s="4">
        <v>24</v>
      </c>
      <c r="H86" s="8">
        <v>1.69</v>
      </c>
      <c r="I86" s="4">
        <v>0</v>
      </c>
    </row>
    <row r="87" spans="1:9" x14ac:dyDescent="0.2">
      <c r="A87" s="2">
        <v>19</v>
      </c>
      <c r="B87" s="1" t="s">
        <v>118</v>
      </c>
      <c r="C87" s="4">
        <v>35</v>
      </c>
      <c r="D87" s="8">
        <v>1.56</v>
      </c>
      <c r="E87" s="4">
        <v>0</v>
      </c>
      <c r="F87" s="8">
        <v>0</v>
      </c>
      <c r="G87" s="4">
        <v>35</v>
      </c>
      <c r="H87" s="8">
        <v>2.4700000000000002</v>
      </c>
      <c r="I87" s="4">
        <v>0</v>
      </c>
    </row>
    <row r="88" spans="1:9" x14ac:dyDescent="0.2">
      <c r="A88" s="2">
        <v>20</v>
      </c>
      <c r="B88" s="1" t="s">
        <v>113</v>
      </c>
      <c r="C88" s="4">
        <v>33</v>
      </c>
      <c r="D88" s="8">
        <v>1.47</v>
      </c>
      <c r="E88" s="4">
        <v>16</v>
      </c>
      <c r="F88" s="8">
        <v>1.96</v>
      </c>
      <c r="G88" s="4">
        <v>17</v>
      </c>
      <c r="H88" s="8">
        <v>1.2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108</v>
      </c>
      <c r="C91" s="4">
        <v>365</v>
      </c>
      <c r="D91" s="8">
        <v>12.17</v>
      </c>
      <c r="E91" s="4">
        <v>113</v>
      </c>
      <c r="F91" s="8">
        <v>12.05</v>
      </c>
      <c r="G91" s="4">
        <v>252</v>
      </c>
      <c r="H91" s="8">
        <v>12.28</v>
      </c>
      <c r="I91" s="4">
        <v>0</v>
      </c>
    </row>
    <row r="92" spans="1:9" x14ac:dyDescent="0.2">
      <c r="A92" s="2">
        <v>2</v>
      </c>
      <c r="B92" s="1" t="s">
        <v>111</v>
      </c>
      <c r="C92" s="4">
        <v>320</v>
      </c>
      <c r="D92" s="8">
        <v>10.67</v>
      </c>
      <c r="E92" s="4">
        <v>211</v>
      </c>
      <c r="F92" s="8">
        <v>22.49</v>
      </c>
      <c r="G92" s="4">
        <v>109</v>
      </c>
      <c r="H92" s="8">
        <v>5.31</v>
      </c>
      <c r="I92" s="4">
        <v>0</v>
      </c>
    </row>
    <row r="93" spans="1:9" x14ac:dyDescent="0.2">
      <c r="A93" s="2">
        <v>3</v>
      </c>
      <c r="B93" s="1" t="s">
        <v>112</v>
      </c>
      <c r="C93" s="4">
        <v>247</v>
      </c>
      <c r="D93" s="8">
        <v>8.23</v>
      </c>
      <c r="E93" s="4">
        <v>166</v>
      </c>
      <c r="F93" s="8">
        <v>17.7</v>
      </c>
      <c r="G93" s="4">
        <v>81</v>
      </c>
      <c r="H93" s="8">
        <v>3.95</v>
      </c>
      <c r="I93" s="4">
        <v>0</v>
      </c>
    </row>
    <row r="94" spans="1:9" x14ac:dyDescent="0.2">
      <c r="A94" s="2">
        <v>4</v>
      </c>
      <c r="B94" s="1" t="s">
        <v>106</v>
      </c>
      <c r="C94" s="4">
        <v>198</v>
      </c>
      <c r="D94" s="8">
        <v>6.6</v>
      </c>
      <c r="E94" s="4">
        <v>69</v>
      </c>
      <c r="F94" s="8">
        <v>7.36</v>
      </c>
      <c r="G94" s="4">
        <v>129</v>
      </c>
      <c r="H94" s="8">
        <v>6.29</v>
      </c>
      <c r="I94" s="4">
        <v>0</v>
      </c>
    </row>
    <row r="95" spans="1:9" x14ac:dyDescent="0.2">
      <c r="A95" s="2">
        <v>5</v>
      </c>
      <c r="B95" s="1" t="s">
        <v>109</v>
      </c>
      <c r="C95" s="4">
        <v>146</v>
      </c>
      <c r="D95" s="8">
        <v>4.87</v>
      </c>
      <c r="E95" s="4">
        <v>71</v>
      </c>
      <c r="F95" s="8">
        <v>7.57</v>
      </c>
      <c r="G95" s="4">
        <v>75</v>
      </c>
      <c r="H95" s="8">
        <v>3.65</v>
      </c>
      <c r="I95" s="4">
        <v>0</v>
      </c>
    </row>
    <row r="96" spans="1:9" x14ac:dyDescent="0.2">
      <c r="A96" s="2">
        <v>6</v>
      </c>
      <c r="B96" s="1" t="s">
        <v>103</v>
      </c>
      <c r="C96" s="4">
        <v>136</v>
      </c>
      <c r="D96" s="8">
        <v>4.53</v>
      </c>
      <c r="E96" s="4">
        <v>15</v>
      </c>
      <c r="F96" s="8">
        <v>1.6</v>
      </c>
      <c r="G96" s="4">
        <v>121</v>
      </c>
      <c r="H96" s="8">
        <v>5.9</v>
      </c>
      <c r="I96" s="4">
        <v>0</v>
      </c>
    </row>
    <row r="97" spans="1:9" x14ac:dyDescent="0.2">
      <c r="A97" s="2">
        <v>6</v>
      </c>
      <c r="B97" s="1" t="s">
        <v>114</v>
      </c>
      <c r="C97" s="4">
        <v>136</v>
      </c>
      <c r="D97" s="8">
        <v>4.53</v>
      </c>
      <c r="E97" s="4">
        <v>65</v>
      </c>
      <c r="F97" s="8">
        <v>6.93</v>
      </c>
      <c r="G97" s="4">
        <v>65</v>
      </c>
      <c r="H97" s="8">
        <v>3.17</v>
      </c>
      <c r="I97" s="4">
        <v>0</v>
      </c>
    </row>
    <row r="98" spans="1:9" x14ac:dyDescent="0.2">
      <c r="A98" s="2">
        <v>8</v>
      </c>
      <c r="B98" s="1" t="s">
        <v>104</v>
      </c>
      <c r="C98" s="4">
        <v>131</v>
      </c>
      <c r="D98" s="8">
        <v>4.37</v>
      </c>
      <c r="E98" s="4">
        <v>27</v>
      </c>
      <c r="F98" s="8">
        <v>2.88</v>
      </c>
      <c r="G98" s="4">
        <v>104</v>
      </c>
      <c r="H98" s="8">
        <v>5.07</v>
      </c>
      <c r="I98" s="4">
        <v>0</v>
      </c>
    </row>
    <row r="99" spans="1:9" x14ac:dyDescent="0.2">
      <c r="A99" s="2">
        <v>9</v>
      </c>
      <c r="B99" s="1" t="s">
        <v>115</v>
      </c>
      <c r="C99" s="4">
        <v>122</v>
      </c>
      <c r="D99" s="8">
        <v>4.07</v>
      </c>
      <c r="E99" s="4">
        <v>104</v>
      </c>
      <c r="F99" s="8">
        <v>11.09</v>
      </c>
      <c r="G99" s="4">
        <v>18</v>
      </c>
      <c r="H99" s="8">
        <v>0.88</v>
      </c>
      <c r="I99" s="4">
        <v>0</v>
      </c>
    </row>
    <row r="100" spans="1:9" x14ac:dyDescent="0.2">
      <c r="A100" s="2">
        <v>10</v>
      </c>
      <c r="B100" s="1" t="s">
        <v>97</v>
      </c>
      <c r="C100" s="4">
        <v>111</v>
      </c>
      <c r="D100" s="8">
        <v>3.7</v>
      </c>
      <c r="E100" s="4">
        <v>4</v>
      </c>
      <c r="F100" s="8">
        <v>0.43</v>
      </c>
      <c r="G100" s="4">
        <v>107</v>
      </c>
      <c r="H100" s="8">
        <v>5.21</v>
      </c>
      <c r="I100" s="4">
        <v>0</v>
      </c>
    </row>
    <row r="101" spans="1:9" x14ac:dyDescent="0.2">
      <c r="A101" s="2">
        <v>11</v>
      </c>
      <c r="B101" s="1" t="s">
        <v>110</v>
      </c>
      <c r="C101" s="4">
        <v>107</v>
      </c>
      <c r="D101" s="8">
        <v>3.57</v>
      </c>
      <c r="E101" s="4">
        <v>16</v>
      </c>
      <c r="F101" s="8">
        <v>1.71</v>
      </c>
      <c r="G101" s="4">
        <v>89</v>
      </c>
      <c r="H101" s="8">
        <v>4.34</v>
      </c>
      <c r="I101" s="4">
        <v>1</v>
      </c>
    </row>
    <row r="102" spans="1:9" x14ac:dyDescent="0.2">
      <c r="A102" s="2">
        <v>12</v>
      </c>
      <c r="B102" s="1" t="s">
        <v>107</v>
      </c>
      <c r="C102" s="4">
        <v>95</v>
      </c>
      <c r="D102" s="8">
        <v>3.17</v>
      </c>
      <c r="E102" s="4">
        <v>2</v>
      </c>
      <c r="F102" s="8">
        <v>0.21</v>
      </c>
      <c r="G102" s="4">
        <v>93</v>
      </c>
      <c r="H102" s="8">
        <v>4.53</v>
      </c>
      <c r="I102" s="4">
        <v>0</v>
      </c>
    </row>
    <row r="103" spans="1:9" x14ac:dyDescent="0.2">
      <c r="A103" s="2">
        <v>13</v>
      </c>
      <c r="B103" s="1" t="s">
        <v>98</v>
      </c>
      <c r="C103" s="4">
        <v>89</v>
      </c>
      <c r="D103" s="8">
        <v>2.97</v>
      </c>
      <c r="E103" s="4">
        <v>10</v>
      </c>
      <c r="F103" s="8">
        <v>1.07</v>
      </c>
      <c r="G103" s="4">
        <v>79</v>
      </c>
      <c r="H103" s="8">
        <v>3.85</v>
      </c>
      <c r="I103" s="4">
        <v>0</v>
      </c>
    </row>
    <row r="104" spans="1:9" x14ac:dyDescent="0.2">
      <c r="A104" s="2">
        <v>14</v>
      </c>
      <c r="B104" s="1" t="s">
        <v>99</v>
      </c>
      <c r="C104" s="4">
        <v>74</v>
      </c>
      <c r="D104" s="8">
        <v>2.4700000000000002</v>
      </c>
      <c r="E104" s="4">
        <v>1</v>
      </c>
      <c r="F104" s="8">
        <v>0.11</v>
      </c>
      <c r="G104" s="4">
        <v>73</v>
      </c>
      <c r="H104" s="8">
        <v>3.56</v>
      </c>
      <c r="I104" s="4">
        <v>0</v>
      </c>
    </row>
    <row r="105" spans="1:9" x14ac:dyDescent="0.2">
      <c r="A105" s="2">
        <v>15</v>
      </c>
      <c r="B105" s="1" t="s">
        <v>102</v>
      </c>
      <c r="C105" s="4">
        <v>72</v>
      </c>
      <c r="D105" s="8">
        <v>2.4</v>
      </c>
      <c r="E105" s="4">
        <v>1</v>
      </c>
      <c r="F105" s="8">
        <v>0.11</v>
      </c>
      <c r="G105" s="4">
        <v>71</v>
      </c>
      <c r="H105" s="8">
        <v>3.46</v>
      </c>
      <c r="I105" s="4">
        <v>0</v>
      </c>
    </row>
    <row r="106" spans="1:9" x14ac:dyDescent="0.2">
      <c r="A106" s="2">
        <v>16</v>
      </c>
      <c r="B106" s="1" t="s">
        <v>119</v>
      </c>
      <c r="C106" s="4">
        <v>50</v>
      </c>
      <c r="D106" s="8">
        <v>1.67</v>
      </c>
      <c r="E106" s="4">
        <v>0</v>
      </c>
      <c r="F106" s="8">
        <v>0</v>
      </c>
      <c r="G106" s="4">
        <v>48</v>
      </c>
      <c r="H106" s="8">
        <v>2.34</v>
      </c>
      <c r="I106" s="4">
        <v>2</v>
      </c>
    </row>
    <row r="107" spans="1:9" x14ac:dyDescent="0.2">
      <c r="A107" s="2">
        <v>17</v>
      </c>
      <c r="B107" s="1" t="s">
        <v>101</v>
      </c>
      <c r="C107" s="4">
        <v>47</v>
      </c>
      <c r="D107" s="8">
        <v>1.57</v>
      </c>
      <c r="E107" s="4">
        <v>2</v>
      </c>
      <c r="F107" s="8">
        <v>0.21</v>
      </c>
      <c r="G107" s="4">
        <v>45</v>
      </c>
      <c r="H107" s="8">
        <v>2.19</v>
      </c>
      <c r="I107" s="4">
        <v>0</v>
      </c>
    </row>
    <row r="108" spans="1:9" x14ac:dyDescent="0.2">
      <c r="A108" s="2">
        <v>18</v>
      </c>
      <c r="B108" s="1" t="s">
        <v>105</v>
      </c>
      <c r="C108" s="4">
        <v>46</v>
      </c>
      <c r="D108" s="8">
        <v>1.53</v>
      </c>
      <c r="E108" s="4">
        <v>14</v>
      </c>
      <c r="F108" s="8">
        <v>1.49</v>
      </c>
      <c r="G108" s="4">
        <v>32</v>
      </c>
      <c r="H108" s="8">
        <v>1.56</v>
      </c>
      <c r="I108" s="4">
        <v>0</v>
      </c>
    </row>
    <row r="109" spans="1:9" x14ac:dyDescent="0.2">
      <c r="A109" s="2">
        <v>19</v>
      </c>
      <c r="B109" s="1" t="s">
        <v>113</v>
      </c>
      <c r="C109" s="4">
        <v>45</v>
      </c>
      <c r="D109" s="8">
        <v>1.5</v>
      </c>
      <c r="E109" s="4">
        <v>8</v>
      </c>
      <c r="F109" s="8">
        <v>0.85</v>
      </c>
      <c r="G109" s="4">
        <v>37</v>
      </c>
      <c r="H109" s="8">
        <v>1.8</v>
      </c>
      <c r="I109" s="4">
        <v>0</v>
      </c>
    </row>
    <row r="110" spans="1:9" x14ac:dyDescent="0.2">
      <c r="A110" s="2">
        <v>19</v>
      </c>
      <c r="B110" s="1" t="s">
        <v>118</v>
      </c>
      <c r="C110" s="4">
        <v>45</v>
      </c>
      <c r="D110" s="8">
        <v>1.5</v>
      </c>
      <c r="E110" s="4">
        <v>0</v>
      </c>
      <c r="F110" s="8">
        <v>0</v>
      </c>
      <c r="G110" s="4">
        <v>45</v>
      </c>
      <c r="H110" s="8">
        <v>2.19</v>
      </c>
      <c r="I110" s="4">
        <v>0</v>
      </c>
    </row>
    <row r="111" spans="1:9" x14ac:dyDescent="0.2">
      <c r="A111" s="1"/>
      <c r="C111" s="4"/>
      <c r="D111" s="8"/>
      <c r="E111" s="4"/>
      <c r="F111" s="8"/>
      <c r="G111" s="4"/>
      <c r="H111" s="8"/>
      <c r="I111" s="4"/>
    </row>
    <row r="112" spans="1:9" x14ac:dyDescent="0.2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2">
      <c r="A113" s="2">
        <v>1</v>
      </c>
      <c r="B113" s="1" t="s">
        <v>112</v>
      </c>
      <c r="C113" s="4">
        <v>220</v>
      </c>
      <c r="D113" s="8">
        <v>9.73</v>
      </c>
      <c r="E113" s="4">
        <v>178</v>
      </c>
      <c r="F113" s="8">
        <v>20.2</v>
      </c>
      <c r="G113" s="4">
        <v>42</v>
      </c>
      <c r="H113" s="8">
        <v>3.05</v>
      </c>
      <c r="I113" s="4">
        <v>0</v>
      </c>
    </row>
    <row r="114" spans="1:9" x14ac:dyDescent="0.2">
      <c r="A114" s="2">
        <v>2</v>
      </c>
      <c r="B114" s="1" t="s">
        <v>108</v>
      </c>
      <c r="C114" s="4">
        <v>186</v>
      </c>
      <c r="D114" s="8">
        <v>8.2200000000000006</v>
      </c>
      <c r="E114" s="4">
        <v>42</v>
      </c>
      <c r="F114" s="8">
        <v>4.7699999999999996</v>
      </c>
      <c r="G114" s="4">
        <v>144</v>
      </c>
      <c r="H114" s="8">
        <v>10.47</v>
      </c>
      <c r="I114" s="4">
        <v>0</v>
      </c>
    </row>
    <row r="115" spans="1:9" x14ac:dyDescent="0.2">
      <c r="A115" s="2">
        <v>3</v>
      </c>
      <c r="B115" s="1" t="s">
        <v>111</v>
      </c>
      <c r="C115" s="4">
        <v>158</v>
      </c>
      <c r="D115" s="8">
        <v>6.98</v>
      </c>
      <c r="E115" s="4">
        <v>135</v>
      </c>
      <c r="F115" s="8">
        <v>15.32</v>
      </c>
      <c r="G115" s="4">
        <v>23</v>
      </c>
      <c r="H115" s="8">
        <v>1.67</v>
      </c>
      <c r="I115" s="4">
        <v>0</v>
      </c>
    </row>
    <row r="116" spans="1:9" x14ac:dyDescent="0.2">
      <c r="A116" s="2">
        <v>4</v>
      </c>
      <c r="B116" s="1" t="s">
        <v>97</v>
      </c>
      <c r="C116" s="4">
        <v>145</v>
      </c>
      <c r="D116" s="8">
        <v>6.41</v>
      </c>
      <c r="E116" s="4">
        <v>18</v>
      </c>
      <c r="F116" s="8">
        <v>2.04</v>
      </c>
      <c r="G116" s="4">
        <v>127</v>
      </c>
      <c r="H116" s="8">
        <v>9.23</v>
      </c>
      <c r="I116" s="4">
        <v>0</v>
      </c>
    </row>
    <row r="117" spans="1:9" x14ac:dyDescent="0.2">
      <c r="A117" s="2">
        <v>5</v>
      </c>
      <c r="B117" s="1" t="s">
        <v>98</v>
      </c>
      <c r="C117" s="4">
        <v>132</v>
      </c>
      <c r="D117" s="8">
        <v>5.84</v>
      </c>
      <c r="E117" s="4">
        <v>24</v>
      </c>
      <c r="F117" s="8">
        <v>2.72</v>
      </c>
      <c r="G117" s="4">
        <v>108</v>
      </c>
      <c r="H117" s="8">
        <v>7.85</v>
      </c>
      <c r="I117" s="4">
        <v>0</v>
      </c>
    </row>
    <row r="118" spans="1:9" x14ac:dyDescent="0.2">
      <c r="A118" s="2">
        <v>5</v>
      </c>
      <c r="B118" s="1" t="s">
        <v>99</v>
      </c>
      <c r="C118" s="4">
        <v>132</v>
      </c>
      <c r="D118" s="8">
        <v>5.84</v>
      </c>
      <c r="E118" s="4">
        <v>14</v>
      </c>
      <c r="F118" s="8">
        <v>1.59</v>
      </c>
      <c r="G118" s="4">
        <v>118</v>
      </c>
      <c r="H118" s="8">
        <v>8.58</v>
      </c>
      <c r="I118" s="4">
        <v>0</v>
      </c>
    </row>
    <row r="119" spans="1:9" x14ac:dyDescent="0.2">
      <c r="A119" s="2">
        <v>7</v>
      </c>
      <c r="B119" s="1" t="s">
        <v>114</v>
      </c>
      <c r="C119" s="4">
        <v>119</v>
      </c>
      <c r="D119" s="8">
        <v>5.26</v>
      </c>
      <c r="E119" s="4">
        <v>81</v>
      </c>
      <c r="F119" s="8">
        <v>9.19</v>
      </c>
      <c r="G119" s="4">
        <v>34</v>
      </c>
      <c r="H119" s="8">
        <v>2.4700000000000002</v>
      </c>
      <c r="I119" s="4">
        <v>0</v>
      </c>
    </row>
    <row r="120" spans="1:9" x14ac:dyDescent="0.2">
      <c r="A120" s="2">
        <v>8</v>
      </c>
      <c r="B120" s="1" t="s">
        <v>106</v>
      </c>
      <c r="C120" s="4">
        <v>115</v>
      </c>
      <c r="D120" s="8">
        <v>5.08</v>
      </c>
      <c r="E120" s="4">
        <v>50</v>
      </c>
      <c r="F120" s="8">
        <v>5.68</v>
      </c>
      <c r="G120" s="4">
        <v>65</v>
      </c>
      <c r="H120" s="8">
        <v>4.72</v>
      </c>
      <c r="I120" s="4">
        <v>0</v>
      </c>
    </row>
    <row r="121" spans="1:9" x14ac:dyDescent="0.2">
      <c r="A121" s="2">
        <v>9</v>
      </c>
      <c r="B121" s="1" t="s">
        <v>115</v>
      </c>
      <c r="C121" s="4">
        <v>92</v>
      </c>
      <c r="D121" s="8">
        <v>4.07</v>
      </c>
      <c r="E121" s="4">
        <v>78</v>
      </c>
      <c r="F121" s="8">
        <v>8.85</v>
      </c>
      <c r="G121" s="4">
        <v>14</v>
      </c>
      <c r="H121" s="8">
        <v>1.02</v>
      </c>
      <c r="I121" s="4">
        <v>0</v>
      </c>
    </row>
    <row r="122" spans="1:9" x14ac:dyDescent="0.2">
      <c r="A122" s="2">
        <v>10</v>
      </c>
      <c r="B122" s="1" t="s">
        <v>109</v>
      </c>
      <c r="C122" s="4">
        <v>85</v>
      </c>
      <c r="D122" s="8">
        <v>3.76</v>
      </c>
      <c r="E122" s="4">
        <v>45</v>
      </c>
      <c r="F122" s="8">
        <v>5.1100000000000003</v>
      </c>
      <c r="G122" s="4">
        <v>40</v>
      </c>
      <c r="H122" s="8">
        <v>2.91</v>
      </c>
      <c r="I122" s="4">
        <v>0</v>
      </c>
    </row>
    <row r="123" spans="1:9" x14ac:dyDescent="0.2">
      <c r="A123" s="2">
        <v>11</v>
      </c>
      <c r="B123" s="1" t="s">
        <v>110</v>
      </c>
      <c r="C123" s="4">
        <v>78</v>
      </c>
      <c r="D123" s="8">
        <v>3.45</v>
      </c>
      <c r="E123" s="4">
        <v>19</v>
      </c>
      <c r="F123" s="8">
        <v>2.16</v>
      </c>
      <c r="G123" s="4">
        <v>59</v>
      </c>
      <c r="H123" s="8">
        <v>4.29</v>
      </c>
      <c r="I123" s="4">
        <v>0</v>
      </c>
    </row>
    <row r="124" spans="1:9" x14ac:dyDescent="0.2">
      <c r="A124" s="2">
        <v>12</v>
      </c>
      <c r="B124" s="1" t="s">
        <v>104</v>
      </c>
      <c r="C124" s="4">
        <v>67</v>
      </c>
      <c r="D124" s="8">
        <v>2.96</v>
      </c>
      <c r="E124" s="4">
        <v>55</v>
      </c>
      <c r="F124" s="8">
        <v>6.24</v>
      </c>
      <c r="G124" s="4">
        <v>12</v>
      </c>
      <c r="H124" s="8">
        <v>0.87</v>
      </c>
      <c r="I124" s="4">
        <v>0</v>
      </c>
    </row>
    <row r="125" spans="1:9" x14ac:dyDescent="0.2">
      <c r="A125" s="2">
        <v>13</v>
      </c>
      <c r="B125" s="1" t="s">
        <v>107</v>
      </c>
      <c r="C125" s="4">
        <v>58</v>
      </c>
      <c r="D125" s="8">
        <v>2.56</v>
      </c>
      <c r="E125" s="4">
        <v>3</v>
      </c>
      <c r="F125" s="8">
        <v>0.34</v>
      </c>
      <c r="G125" s="4">
        <v>55</v>
      </c>
      <c r="H125" s="8">
        <v>4</v>
      </c>
      <c r="I125" s="4">
        <v>0</v>
      </c>
    </row>
    <row r="126" spans="1:9" x14ac:dyDescent="0.2">
      <c r="A126" s="2">
        <v>14</v>
      </c>
      <c r="B126" s="1" t="s">
        <v>105</v>
      </c>
      <c r="C126" s="4">
        <v>49</v>
      </c>
      <c r="D126" s="8">
        <v>2.17</v>
      </c>
      <c r="E126" s="4">
        <v>21</v>
      </c>
      <c r="F126" s="8">
        <v>2.38</v>
      </c>
      <c r="G126" s="4">
        <v>28</v>
      </c>
      <c r="H126" s="8">
        <v>2.0299999999999998</v>
      </c>
      <c r="I126" s="4">
        <v>0</v>
      </c>
    </row>
    <row r="127" spans="1:9" x14ac:dyDescent="0.2">
      <c r="A127" s="2">
        <v>15</v>
      </c>
      <c r="B127" s="1" t="s">
        <v>102</v>
      </c>
      <c r="C127" s="4">
        <v>42</v>
      </c>
      <c r="D127" s="8">
        <v>1.86</v>
      </c>
      <c r="E127" s="4">
        <v>4</v>
      </c>
      <c r="F127" s="8">
        <v>0.45</v>
      </c>
      <c r="G127" s="4">
        <v>38</v>
      </c>
      <c r="H127" s="8">
        <v>2.76</v>
      </c>
      <c r="I127" s="4">
        <v>0</v>
      </c>
    </row>
    <row r="128" spans="1:9" x14ac:dyDescent="0.2">
      <c r="A128" s="2">
        <v>16</v>
      </c>
      <c r="B128" s="1" t="s">
        <v>117</v>
      </c>
      <c r="C128" s="4">
        <v>41</v>
      </c>
      <c r="D128" s="8">
        <v>1.81</v>
      </c>
      <c r="E128" s="4">
        <v>8</v>
      </c>
      <c r="F128" s="8">
        <v>0.91</v>
      </c>
      <c r="G128" s="4">
        <v>33</v>
      </c>
      <c r="H128" s="8">
        <v>2.4</v>
      </c>
      <c r="I128" s="4">
        <v>0</v>
      </c>
    </row>
    <row r="129" spans="1:9" x14ac:dyDescent="0.2">
      <c r="A129" s="2">
        <v>17</v>
      </c>
      <c r="B129" s="1" t="s">
        <v>118</v>
      </c>
      <c r="C129" s="4">
        <v>38</v>
      </c>
      <c r="D129" s="8">
        <v>1.68</v>
      </c>
      <c r="E129" s="4">
        <v>1</v>
      </c>
      <c r="F129" s="8">
        <v>0.11</v>
      </c>
      <c r="G129" s="4">
        <v>36</v>
      </c>
      <c r="H129" s="8">
        <v>2.62</v>
      </c>
      <c r="I129" s="4">
        <v>1</v>
      </c>
    </row>
    <row r="130" spans="1:9" x14ac:dyDescent="0.2">
      <c r="A130" s="2">
        <v>18</v>
      </c>
      <c r="B130" s="1" t="s">
        <v>122</v>
      </c>
      <c r="C130" s="4">
        <v>34</v>
      </c>
      <c r="D130" s="8">
        <v>1.5</v>
      </c>
      <c r="E130" s="4">
        <v>4</v>
      </c>
      <c r="F130" s="8">
        <v>0.45</v>
      </c>
      <c r="G130" s="4">
        <v>30</v>
      </c>
      <c r="H130" s="8">
        <v>2.1800000000000002</v>
      </c>
      <c r="I130" s="4">
        <v>0</v>
      </c>
    </row>
    <row r="131" spans="1:9" x14ac:dyDescent="0.2">
      <c r="A131" s="2">
        <v>19</v>
      </c>
      <c r="B131" s="1" t="s">
        <v>113</v>
      </c>
      <c r="C131" s="4">
        <v>33</v>
      </c>
      <c r="D131" s="8">
        <v>1.46</v>
      </c>
      <c r="E131" s="4">
        <v>13</v>
      </c>
      <c r="F131" s="8">
        <v>1.48</v>
      </c>
      <c r="G131" s="4">
        <v>20</v>
      </c>
      <c r="H131" s="8">
        <v>1.45</v>
      </c>
      <c r="I131" s="4">
        <v>0</v>
      </c>
    </row>
    <row r="132" spans="1:9" x14ac:dyDescent="0.2">
      <c r="A132" s="2">
        <v>20</v>
      </c>
      <c r="B132" s="1" t="s">
        <v>101</v>
      </c>
      <c r="C132" s="4">
        <v>28</v>
      </c>
      <c r="D132" s="8">
        <v>1.24</v>
      </c>
      <c r="E132" s="4">
        <v>0</v>
      </c>
      <c r="F132" s="8">
        <v>0</v>
      </c>
      <c r="G132" s="4">
        <v>28</v>
      </c>
      <c r="H132" s="8">
        <v>2.0299999999999998</v>
      </c>
      <c r="I132" s="4">
        <v>0</v>
      </c>
    </row>
    <row r="133" spans="1:9" x14ac:dyDescent="0.2">
      <c r="A133" s="1"/>
      <c r="C133" s="4"/>
      <c r="D133" s="8"/>
      <c r="E133" s="4"/>
      <c r="F133" s="8"/>
      <c r="G133" s="4"/>
      <c r="H133" s="8"/>
      <c r="I133" s="4"/>
    </row>
    <row r="134" spans="1:9" x14ac:dyDescent="0.2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2">
      <c r="A135" s="2">
        <v>1</v>
      </c>
      <c r="B135" s="1" t="s">
        <v>112</v>
      </c>
      <c r="C135" s="4">
        <v>166</v>
      </c>
      <c r="D135" s="8">
        <v>10.79</v>
      </c>
      <c r="E135" s="4">
        <v>127</v>
      </c>
      <c r="F135" s="8">
        <v>23.43</v>
      </c>
      <c r="G135" s="4">
        <v>39</v>
      </c>
      <c r="H135" s="8">
        <v>3.94</v>
      </c>
      <c r="I135" s="4">
        <v>0</v>
      </c>
    </row>
    <row r="136" spans="1:9" x14ac:dyDescent="0.2">
      <c r="A136" s="2">
        <v>2</v>
      </c>
      <c r="B136" s="1" t="s">
        <v>108</v>
      </c>
      <c r="C136" s="4">
        <v>148</v>
      </c>
      <c r="D136" s="8">
        <v>9.6199999999999992</v>
      </c>
      <c r="E136" s="4">
        <v>36</v>
      </c>
      <c r="F136" s="8">
        <v>6.64</v>
      </c>
      <c r="G136" s="4">
        <v>112</v>
      </c>
      <c r="H136" s="8">
        <v>11.32</v>
      </c>
      <c r="I136" s="4">
        <v>0</v>
      </c>
    </row>
    <row r="137" spans="1:9" x14ac:dyDescent="0.2">
      <c r="A137" s="2">
        <v>3</v>
      </c>
      <c r="B137" s="1" t="s">
        <v>111</v>
      </c>
      <c r="C137" s="4">
        <v>120</v>
      </c>
      <c r="D137" s="8">
        <v>7.8</v>
      </c>
      <c r="E137" s="4">
        <v>93</v>
      </c>
      <c r="F137" s="8">
        <v>17.16</v>
      </c>
      <c r="G137" s="4">
        <v>27</v>
      </c>
      <c r="H137" s="8">
        <v>2.73</v>
      </c>
      <c r="I137" s="4">
        <v>0</v>
      </c>
    </row>
    <row r="138" spans="1:9" x14ac:dyDescent="0.2">
      <c r="A138" s="2">
        <v>4</v>
      </c>
      <c r="B138" s="1" t="s">
        <v>109</v>
      </c>
      <c r="C138" s="4">
        <v>107</v>
      </c>
      <c r="D138" s="8">
        <v>6.95</v>
      </c>
      <c r="E138" s="4">
        <v>56</v>
      </c>
      <c r="F138" s="8">
        <v>10.33</v>
      </c>
      <c r="G138" s="4">
        <v>51</v>
      </c>
      <c r="H138" s="8">
        <v>5.16</v>
      </c>
      <c r="I138" s="4">
        <v>0</v>
      </c>
    </row>
    <row r="139" spans="1:9" x14ac:dyDescent="0.2">
      <c r="A139" s="2">
        <v>5</v>
      </c>
      <c r="B139" s="1" t="s">
        <v>106</v>
      </c>
      <c r="C139" s="4">
        <v>75</v>
      </c>
      <c r="D139" s="8">
        <v>4.87</v>
      </c>
      <c r="E139" s="4">
        <v>28</v>
      </c>
      <c r="F139" s="8">
        <v>5.17</v>
      </c>
      <c r="G139" s="4">
        <v>47</v>
      </c>
      <c r="H139" s="8">
        <v>4.75</v>
      </c>
      <c r="I139" s="4">
        <v>0</v>
      </c>
    </row>
    <row r="140" spans="1:9" x14ac:dyDescent="0.2">
      <c r="A140" s="2">
        <v>6</v>
      </c>
      <c r="B140" s="1" t="s">
        <v>97</v>
      </c>
      <c r="C140" s="4">
        <v>72</v>
      </c>
      <c r="D140" s="8">
        <v>4.68</v>
      </c>
      <c r="E140" s="4">
        <v>3</v>
      </c>
      <c r="F140" s="8">
        <v>0.55000000000000004</v>
      </c>
      <c r="G140" s="4">
        <v>69</v>
      </c>
      <c r="H140" s="8">
        <v>6.98</v>
      </c>
      <c r="I140" s="4">
        <v>0</v>
      </c>
    </row>
    <row r="141" spans="1:9" x14ac:dyDescent="0.2">
      <c r="A141" s="2">
        <v>7</v>
      </c>
      <c r="B141" s="1" t="s">
        <v>115</v>
      </c>
      <c r="C141" s="4">
        <v>69</v>
      </c>
      <c r="D141" s="8">
        <v>4.4800000000000004</v>
      </c>
      <c r="E141" s="4">
        <v>62</v>
      </c>
      <c r="F141" s="8">
        <v>11.44</v>
      </c>
      <c r="G141" s="4">
        <v>7</v>
      </c>
      <c r="H141" s="8">
        <v>0.71</v>
      </c>
      <c r="I141" s="4">
        <v>0</v>
      </c>
    </row>
    <row r="142" spans="1:9" x14ac:dyDescent="0.2">
      <c r="A142" s="2">
        <v>8</v>
      </c>
      <c r="B142" s="1" t="s">
        <v>114</v>
      </c>
      <c r="C142" s="4">
        <v>62</v>
      </c>
      <c r="D142" s="8">
        <v>4.03</v>
      </c>
      <c r="E142" s="4">
        <v>30</v>
      </c>
      <c r="F142" s="8">
        <v>5.54</v>
      </c>
      <c r="G142" s="4">
        <v>27</v>
      </c>
      <c r="H142" s="8">
        <v>2.73</v>
      </c>
      <c r="I142" s="4">
        <v>0</v>
      </c>
    </row>
    <row r="143" spans="1:9" x14ac:dyDescent="0.2">
      <c r="A143" s="2">
        <v>9</v>
      </c>
      <c r="B143" s="1" t="s">
        <v>98</v>
      </c>
      <c r="C143" s="4">
        <v>56</v>
      </c>
      <c r="D143" s="8">
        <v>3.64</v>
      </c>
      <c r="E143" s="4">
        <v>6</v>
      </c>
      <c r="F143" s="8">
        <v>1.1100000000000001</v>
      </c>
      <c r="G143" s="4">
        <v>50</v>
      </c>
      <c r="H143" s="8">
        <v>5.0599999999999996</v>
      </c>
      <c r="I143" s="4">
        <v>0</v>
      </c>
    </row>
    <row r="144" spans="1:9" x14ac:dyDescent="0.2">
      <c r="A144" s="2">
        <v>10</v>
      </c>
      <c r="B144" s="1" t="s">
        <v>99</v>
      </c>
      <c r="C144" s="4">
        <v>49</v>
      </c>
      <c r="D144" s="8">
        <v>3.18</v>
      </c>
      <c r="E144" s="4">
        <v>1</v>
      </c>
      <c r="F144" s="8">
        <v>0.18</v>
      </c>
      <c r="G144" s="4">
        <v>48</v>
      </c>
      <c r="H144" s="8">
        <v>4.8499999999999996</v>
      </c>
      <c r="I144" s="4">
        <v>0</v>
      </c>
    </row>
    <row r="145" spans="1:9" x14ac:dyDescent="0.2">
      <c r="A145" s="2">
        <v>10</v>
      </c>
      <c r="B145" s="1" t="s">
        <v>104</v>
      </c>
      <c r="C145" s="4">
        <v>49</v>
      </c>
      <c r="D145" s="8">
        <v>3.18</v>
      </c>
      <c r="E145" s="4">
        <v>28</v>
      </c>
      <c r="F145" s="8">
        <v>5.17</v>
      </c>
      <c r="G145" s="4">
        <v>21</v>
      </c>
      <c r="H145" s="8">
        <v>2.12</v>
      </c>
      <c r="I145" s="4">
        <v>0</v>
      </c>
    </row>
    <row r="146" spans="1:9" x14ac:dyDescent="0.2">
      <c r="A146" s="2">
        <v>12</v>
      </c>
      <c r="B146" s="1" t="s">
        <v>110</v>
      </c>
      <c r="C146" s="4">
        <v>47</v>
      </c>
      <c r="D146" s="8">
        <v>3.05</v>
      </c>
      <c r="E146" s="4">
        <v>10</v>
      </c>
      <c r="F146" s="8">
        <v>1.85</v>
      </c>
      <c r="G146" s="4">
        <v>37</v>
      </c>
      <c r="H146" s="8">
        <v>3.74</v>
      </c>
      <c r="I146" s="4">
        <v>0</v>
      </c>
    </row>
    <row r="147" spans="1:9" x14ac:dyDescent="0.2">
      <c r="A147" s="2">
        <v>13</v>
      </c>
      <c r="B147" s="1" t="s">
        <v>118</v>
      </c>
      <c r="C147" s="4">
        <v>46</v>
      </c>
      <c r="D147" s="8">
        <v>2.99</v>
      </c>
      <c r="E147" s="4">
        <v>0</v>
      </c>
      <c r="F147" s="8">
        <v>0</v>
      </c>
      <c r="G147" s="4">
        <v>46</v>
      </c>
      <c r="H147" s="8">
        <v>4.6500000000000004</v>
      </c>
      <c r="I147" s="4">
        <v>0</v>
      </c>
    </row>
    <row r="148" spans="1:9" x14ac:dyDescent="0.2">
      <c r="A148" s="2">
        <v>14</v>
      </c>
      <c r="B148" s="1" t="s">
        <v>107</v>
      </c>
      <c r="C148" s="4">
        <v>38</v>
      </c>
      <c r="D148" s="8">
        <v>2.4700000000000002</v>
      </c>
      <c r="E148" s="4">
        <v>3</v>
      </c>
      <c r="F148" s="8">
        <v>0.55000000000000004</v>
      </c>
      <c r="G148" s="4">
        <v>35</v>
      </c>
      <c r="H148" s="8">
        <v>3.54</v>
      </c>
      <c r="I148" s="4">
        <v>0</v>
      </c>
    </row>
    <row r="149" spans="1:9" x14ac:dyDescent="0.2">
      <c r="A149" s="2">
        <v>15</v>
      </c>
      <c r="B149" s="1" t="s">
        <v>113</v>
      </c>
      <c r="C149" s="4">
        <v>37</v>
      </c>
      <c r="D149" s="8">
        <v>2.4</v>
      </c>
      <c r="E149" s="4">
        <v>9</v>
      </c>
      <c r="F149" s="8">
        <v>1.66</v>
      </c>
      <c r="G149" s="4">
        <v>27</v>
      </c>
      <c r="H149" s="8">
        <v>2.73</v>
      </c>
      <c r="I149" s="4">
        <v>0</v>
      </c>
    </row>
    <row r="150" spans="1:9" x14ac:dyDescent="0.2">
      <c r="A150" s="2">
        <v>16</v>
      </c>
      <c r="B150" s="1" t="s">
        <v>102</v>
      </c>
      <c r="C150" s="4">
        <v>35</v>
      </c>
      <c r="D150" s="8">
        <v>2.27</v>
      </c>
      <c r="E150" s="4">
        <v>1</v>
      </c>
      <c r="F150" s="8">
        <v>0.18</v>
      </c>
      <c r="G150" s="4">
        <v>34</v>
      </c>
      <c r="H150" s="8">
        <v>3.44</v>
      </c>
      <c r="I150" s="4">
        <v>0</v>
      </c>
    </row>
    <row r="151" spans="1:9" x14ac:dyDescent="0.2">
      <c r="A151" s="2">
        <v>17</v>
      </c>
      <c r="B151" s="1" t="s">
        <v>117</v>
      </c>
      <c r="C151" s="4">
        <v>26</v>
      </c>
      <c r="D151" s="8">
        <v>1.69</v>
      </c>
      <c r="E151" s="4">
        <v>1</v>
      </c>
      <c r="F151" s="8">
        <v>0.18</v>
      </c>
      <c r="G151" s="4">
        <v>25</v>
      </c>
      <c r="H151" s="8">
        <v>2.5299999999999998</v>
      </c>
      <c r="I151" s="4">
        <v>0</v>
      </c>
    </row>
    <row r="152" spans="1:9" x14ac:dyDescent="0.2">
      <c r="A152" s="2">
        <v>17</v>
      </c>
      <c r="B152" s="1" t="s">
        <v>119</v>
      </c>
      <c r="C152" s="4">
        <v>26</v>
      </c>
      <c r="D152" s="8">
        <v>1.69</v>
      </c>
      <c r="E152" s="4">
        <v>0</v>
      </c>
      <c r="F152" s="8">
        <v>0</v>
      </c>
      <c r="G152" s="4">
        <v>26</v>
      </c>
      <c r="H152" s="8">
        <v>2.63</v>
      </c>
      <c r="I152" s="4">
        <v>0</v>
      </c>
    </row>
    <row r="153" spans="1:9" x14ac:dyDescent="0.2">
      <c r="A153" s="2">
        <v>19</v>
      </c>
      <c r="B153" s="1" t="s">
        <v>105</v>
      </c>
      <c r="C153" s="4">
        <v>24</v>
      </c>
      <c r="D153" s="8">
        <v>1.56</v>
      </c>
      <c r="E153" s="4">
        <v>9</v>
      </c>
      <c r="F153" s="8">
        <v>1.66</v>
      </c>
      <c r="G153" s="4">
        <v>15</v>
      </c>
      <c r="H153" s="8">
        <v>1.52</v>
      </c>
      <c r="I153" s="4">
        <v>0</v>
      </c>
    </row>
    <row r="154" spans="1:9" x14ac:dyDescent="0.2">
      <c r="A154" s="2">
        <v>20</v>
      </c>
      <c r="B154" s="1" t="s">
        <v>101</v>
      </c>
      <c r="C154" s="4">
        <v>23</v>
      </c>
      <c r="D154" s="8">
        <v>1.49</v>
      </c>
      <c r="E154" s="4">
        <v>1</v>
      </c>
      <c r="F154" s="8">
        <v>0.18</v>
      </c>
      <c r="G154" s="4">
        <v>22</v>
      </c>
      <c r="H154" s="8">
        <v>2.2200000000000002</v>
      </c>
      <c r="I154" s="4">
        <v>0</v>
      </c>
    </row>
    <row r="155" spans="1:9" x14ac:dyDescent="0.2">
      <c r="A155" s="1"/>
      <c r="C155" s="4"/>
      <c r="D155" s="8"/>
      <c r="E155" s="4"/>
      <c r="F155" s="8"/>
      <c r="G155" s="4"/>
      <c r="H155" s="8"/>
      <c r="I155" s="4"/>
    </row>
    <row r="156" spans="1:9" x14ac:dyDescent="0.2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2">
      <c r="A157" s="2">
        <v>1</v>
      </c>
      <c r="B157" s="1" t="s">
        <v>108</v>
      </c>
      <c r="C157" s="4">
        <v>171</v>
      </c>
      <c r="D157" s="8">
        <v>12.27</v>
      </c>
      <c r="E157" s="4">
        <v>60</v>
      </c>
      <c r="F157" s="8">
        <v>12.42</v>
      </c>
      <c r="G157" s="4">
        <v>111</v>
      </c>
      <c r="H157" s="8">
        <v>12.25</v>
      </c>
      <c r="I157" s="4">
        <v>0</v>
      </c>
    </row>
    <row r="158" spans="1:9" x14ac:dyDescent="0.2">
      <c r="A158" s="2">
        <v>2</v>
      </c>
      <c r="B158" s="1" t="s">
        <v>112</v>
      </c>
      <c r="C158" s="4">
        <v>124</v>
      </c>
      <c r="D158" s="8">
        <v>8.9</v>
      </c>
      <c r="E158" s="4">
        <v>96</v>
      </c>
      <c r="F158" s="8">
        <v>19.88</v>
      </c>
      <c r="G158" s="4">
        <v>28</v>
      </c>
      <c r="H158" s="8">
        <v>3.09</v>
      </c>
      <c r="I158" s="4">
        <v>0</v>
      </c>
    </row>
    <row r="159" spans="1:9" x14ac:dyDescent="0.2">
      <c r="A159" s="2">
        <v>3</v>
      </c>
      <c r="B159" s="1" t="s">
        <v>111</v>
      </c>
      <c r="C159" s="4">
        <v>113</v>
      </c>
      <c r="D159" s="8">
        <v>8.11</v>
      </c>
      <c r="E159" s="4">
        <v>100</v>
      </c>
      <c r="F159" s="8">
        <v>20.7</v>
      </c>
      <c r="G159" s="4">
        <v>13</v>
      </c>
      <c r="H159" s="8">
        <v>1.43</v>
      </c>
      <c r="I159" s="4">
        <v>0</v>
      </c>
    </row>
    <row r="160" spans="1:9" x14ac:dyDescent="0.2">
      <c r="A160" s="2">
        <v>4</v>
      </c>
      <c r="B160" s="1" t="s">
        <v>98</v>
      </c>
      <c r="C160" s="4">
        <v>93</v>
      </c>
      <c r="D160" s="8">
        <v>6.67</v>
      </c>
      <c r="E160" s="4">
        <v>12</v>
      </c>
      <c r="F160" s="8">
        <v>2.48</v>
      </c>
      <c r="G160" s="4">
        <v>81</v>
      </c>
      <c r="H160" s="8">
        <v>8.94</v>
      </c>
      <c r="I160" s="4">
        <v>0</v>
      </c>
    </row>
    <row r="161" spans="1:9" x14ac:dyDescent="0.2">
      <c r="A161" s="2">
        <v>5</v>
      </c>
      <c r="B161" s="1" t="s">
        <v>97</v>
      </c>
      <c r="C161" s="4">
        <v>83</v>
      </c>
      <c r="D161" s="8">
        <v>5.95</v>
      </c>
      <c r="E161" s="4">
        <v>13</v>
      </c>
      <c r="F161" s="8">
        <v>2.69</v>
      </c>
      <c r="G161" s="4">
        <v>70</v>
      </c>
      <c r="H161" s="8">
        <v>7.73</v>
      </c>
      <c r="I161" s="4">
        <v>0</v>
      </c>
    </row>
    <row r="162" spans="1:9" x14ac:dyDescent="0.2">
      <c r="A162" s="2">
        <v>6</v>
      </c>
      <c r="B162" s="1" t="s">
        <v>99</v>
      </c>
      <c r="C162" s="4">
        <v>78</v>
      </c>
      <c r="D162" s="8">
        <v>5.6</v>
      </c>
      <c r="E162" s="4">
        <v>13</v>
      </c>
      <c r="F162" s="8">
        <v>2.69</v>
      </c>
      <c r="G162" s="4">
        <v>65</v>
      </c>
      <c r="H162" s="8">
        <v>7.17</v>
      </c>
      <c r="I162" s="4">
        <v>0</v>
      </c>
    </row>
    <row r="163" spans="1:9" x14ac:dyDescent="0.2">
      <c r="A163" s="2">
        <v>7</v>
      </c>
      <c r="B163" s="1" t="s">
        <v>114</v>
      </c>
      <c r="C163" s="4">
        <v>56</v>
      </c>
      <c r="D163" s="8">
        <v>4.0199999999999996</v>
      </c>
      <c r="E163" s="4">
        <v>35</v>
      </c>
      <c r="F163" s="8">
        <v>7.25</v>
      </c>
      <c r="G163" s="4">
        <v>16</v>
      </c>
      <c r="H163" s="8">
        <v>1.77</v>
      </c>
      <c r="I163" s="4">
        <v>0</v>
      </c>
    </row>
    <row r="164" spans="1:9" x14ac:dyDescent="0.2">
      <c r="A164" s="2">
        <v>8</v>
      </c>
      <c r="B164" s="1" t="s">
        <v>106</v>
      </c>
      <c r="C164" s="4">
        <v>40</v>
      </c>
      <c r="D164" s="8">
        <v>2.87</v>
      </c>
      <c r="E164" s="4">
        <v>19</v>
      </c>
      <c r="F164" s="8">
        <v>3.93</v>
      </c>
      <c r="G164" s="4">
        <v>21</v>
      </c>
      <c r="H164" s="8">
        <v>2.3199999999999998</v>
      </c>
      <c r="I164" s="4">
        <v>0</v>
      </c>
    </row>
    <row r="165" spans="1:9" x14ac:dyDescent="0.2">
      <c r="A165" s="2">
        <v>9</v>
      </c>
      <c r="B165" s="1" t="s">
        <v>109</v>
      </c>
      <c r="C165" s="4">
        <v>39</v>
      </c>
      <c r="D165" s="8">
        <v>2.8</v>
      </c>
      <c r="E165" s="4">
        <v>14</v>
      </c>
      <c r="F165" s="8">
        <v>2.9</v>
      </c>
      <c r="G165" s="4">
        <v>25</v>
      </c>
      <c r="H165" s="8">
        <v>2.76</v>
      </c>
      <c r="I165" s="4">
        <v>0</v>
      </c>
    </row>
    <row r="166" spans="1:9" x14ac:dyDescent="0.2">
      <c r="A166" s="2">
        <v>10</v>
      </c>
      <c r="B166" s="1" t="s">
        <v>104</v>
      </c>
      <c r="C166" s="4">
        <v>33</v>
      </c>
      <c r="D166" s="8">
        <v>2.37</v>
      </c>
      <c r="E166" s="4">
        <v>18</v>
      </c>
      <c r="F166" s="8">
        <v>3.73</v>
      </c>
      <c r="G166" s="4">
        <v>15</v>
      </c>
      <c r="H166" s="8">
        <v>1.66</v>
      </c>
      <c r="I166" s="4">
        <v>0</v>
      </c>
    </row>
    <row r="167" spans="1:9" x14ac:dyDescent="0.2">
      <c r="A167" s="2">
        <v>10</v>
      </c>
      <c r="B167" s="1" t="s">
        <v>110</v>
      </c>
      <c r="C167" s="4">
        <v>33</v>
      </c>
      <c r="D167" s="8">
        <v>2.37</v>
      </c>
      <c r="E167" s="4">
        <v>10</v>
      </c>
      <c r="F167" s="8">
        <v>2.0699999999999998</v>
      </c>
      <c r="G167" s="4">
        <v>23</v>
      </c>
      <c r="H167" s="8">
        <v>2.54</v>
      </c>
      <c r="I167" s="4">
        <v>0</v>
      </c>
    </row>
    <row r="168" spans="1:9" x14ac:dyDescent="0.2">
      <c r="A168" s="2">
        <v>10</v>
      </c>
      <c r="B168" s="1" t="s">
        <v>115</v>
      </c>
      <c r="C168" s="4">
        <v>33</v>
      </c>
      <c r="D168" s="8">
        <v>2.37</v>
      </c>
      <c r="E168" s="4">
        <v>26</v>
      </c>
      <c r="F168" s="8">
        <v>5.38</v>
      </c>
      <c r="G168" s="4">
        <v>7</v>
      </c>
      <c r="H168" s="8">
        <v>0.77</v>
      </c>
      <c r="I168" s="4">
        <v>0</v>
      </c>
    </row>
    <row r="169" spans="1:9" x14ac:dyDescent="0.2">
      <c r="A169" s="2">
        <v>13</v>
      </c>
      <c r="B169" s="1" t="s">
        <v>100</v>
      </c>
      <c r="C169" s="4">
        <v>28</v>
      </c>
      <c r="D169" s="8">
        <v>2.0099999999999998</v>
      </c>
      <c r="E169" s="4">
        <v>4</v>
      </c>
      <c r="F169" s="8">
        <v>0.83</v>
      </c>
      <c r="G169" s="4">
        <v>24</v>
      </c>
      <c r="H169" s="8">
        <v>2.65</v>
      </c>
      <c r="I169" s="4">
        <v>0</v>
      </c>
    </row>
    <row r="170" spans="1:9" x14ac:dyDescent="0.2">
      <c r="A170" s="2">
        <v>14</v>
      </c>
      <c r="B170" s="1" t="s">
        <v>105</v>
      </c>
      <c r="C170" s="4">
        <v>26</v>
      </c>
      <c r="D170" s="8">
        <v>1.87</v>
      </c>
      <c r="E170" s="4">
        <v>10</v>
      </c>
      <c r="F170" s="8">
        <v>2.0699999999999998</v>
      </c>
      <c r="G170" s="4">
        <v>16</v>
      </c>
      <c r="H170" s="8">
        <v>1.77</v>
      </c>
      <c r="I170" s="4">
        <v>0</v>
      </c>
    </row>
    <row r="171" spans="1:9" x14ac:dyDescent="0.2">
      <c r="A171" s="2">
        <v>15</v>
      </c>
      <c r="B171" s="1" t="s">
        <v>121</v>
      </c>
      <c r="C171" s="4">
        <v>25</v>
      </c>
      <c r="D171" s="8">
        <v>1.79</v>
      </c>
      <c r="E171" s="4">
        <v>0</v>
      </c>
      <c r="F171" s="8">
        <v>0</v>
      </c>
      <c r="G171" s="4">
        <v>25</v>
      </c>
      <c r="H171" s="8">
        <v>2.76</v>
      </c>
      <c r="I171" s="4">
        <v>0</v>
      </c>
    </row>
    <row r="172" spans="1:9" x14ac:dyDescent="0.2">
      <c r="A172" s="2">
        <v>16</v>
      </c>
      <c r="B172" s="1" t="s">
        <v>118</v>
      </c>
      <c r="C172" s="4">
        <v>24</v>
      </c>
      <c r="D172" s="8">
        <v>1.72</v>
      </c>
      <c r="E172" s="4">
        <v>0</v>
      </c>
      <c r="F172" s="8">
        <v>0</v>
      </c>
      <c r="G172" s="4">
        <v>24</v>
      </c>
      <c r="H172" s="8">
        <v>2.65</v>
      </c>
      <c r="I172" s="4">
        <v>0</v>
      </c>
    </row>
    <row r="173" spans="1:9" x14ac:dyDescent="0.2">
      <c r="A173" s="2">
        <v>17</v>
      </c>
      <c r="B173" s="1" t="s">
        <v>102</v>
      </c>
      <c r="C173" s="4">
        <v>21</v>
      </c>
      <c r="D173" s="8">
        <v>1.51</v>
      </c>
      <c r="E173" s="4">
        <v>0</v>
      </c>
      <c r="F173" s="8">
        <v>0</v>
      </c>
      <c r="G173" s="4">
        <v>21</v>
      </c>
      <c r="H173" s="8">
        <v>2.3199999999999998</v>
      </c>
      <c r="I173" s="4">
        <v>0</v>
      </c>
    </row>
    <row r="174" spans="1:9" x14ac:dyDescent="0.2">
      <c r="A174" s="2">
        <v>18</v>
      </c>
      <c r="B174" s="1" t="s">
        <v>101</v>
      </c>
      <c r="C174" s="4">
        <v>20</v>
      </c>
      <c r="D174" s="8">
        <v>1.43</v>
      </c>
      <c r="E174" s="4">
        <v>1</v>
      </c>
      <c r="F174" s="8">
        <v>0.21</v>
      </c>
      <c r="G174" s="4">
        <v>19</v>
      </c>
      <c r="H174" s="8">
        <v>2.1</v>
      </c>
      <c r="I174" s="4">
        <v>0</v>
      </c>
    </row>
    <row r="175" spans="1:9" x14ac:dyDescent="0.2">
      <c r="A175" s="2">
        <v>18</v>
      </c>
      <c r="B175" s="1" t="s">
        <v>117</v>
      </c>
      <c r="C175" s="4">
        <v>20</v>
      </c>
      <c r="D175" s="8">
        <v>1.43</v>
      </c>
      <c r="E175" s="4">
        <v>2</v>
      </c>
      <c r="F175" s="8">
        <v>0.41</v>
      </c>
      <c r="G175" s="4">
        <v>18</v>
      </c>
      <c r="H175" s="8">
        <v>1.99</v>
      </c>
      <c r="I175" s="4">
        <v>0</v>
      </c>
    </row>
    <row r="176" spans="1:9" x14ac:dyDescent="0.2">
      <c r="A176" s="2">
        <v>18</v>
      </c>
      <c r="B176" s="1" t="s">
        <v>113</v>
      </c>
      <c r="C176" s="4">
        <v>20</v>
      </c>
      <c r="D176" s="8">
        <v>1.43</v>
      </c>
      <c r="E176" s="4">
        <v>7</v>
      </c>
      <c r="F176" s="8">
        <v>1.45</v>
      </c>
      <c r="G176" s="4">
        <v>13</v>
      </c>
      <c r="H176" s="8">
        <v>1.43</v>
      </c>
      <c r="I176" s="4">
        <v>0</v>
      </c>
    </row>
    <row r="177" spans="1:9" x14ac:dyDescent="0.2">
      <c r="A177" s="1"/>
      <c r="C177" s="4"/>
      <c r="D177" s="8"/>
      <c r="E177" s="4"/>
      <c r="F177" s="8"/>
      <c r="G177" s="4"/>
      <c r="H177" s="8"/>
      <c r="I177" s="4"/>
    </row>
    <row r="178" spans="1:9" x14ac:dyDescent="0.2">
      <c r="A178" s="1" t="s">
        <v>8</v>
      </c>
      <c r="C178" s="4"/>
      <c r="D178" s="8"/>
      <c r="E178" s="4"/>
      <c r="F178" s="8"/>
      <c r="G178" s="4"/>
      <c r="H178" s="8"/>
      <c r="I178" s="4"/>
    </row>
    <row r="179" spans="1:9" x14ac:dyDescent="0.2">
      <c r="A179" s="2">
        <v>1</v>
      </c>
      <c r="B179" s="1" t="s">
        <v>108</v>
      </c>
      <c r="C179" s="4">
        <v>340</v>
      </c>
      <c r="D179" s="8">
        <v>11.68</v>
      </c>
      <c r="E179" s="4">
        <v>61</v>
      </c>
      <c r="F179" s="8">
        <v>5.39</v>
      </c>
      <c r="G179" s="4">
        <v>278</v>
      </c>
      <c r="H179" s="8">
        <v>15.8</v>
      </c>
      <c r="I179" s="4">
        <v>1</v>
      </c>
    </row>
    <row r="180" spans="1:9" x14ac:dyDescent="0.2">
      <c r="A180" s="2">
        <v>2</v>
      </c>
      <c r="B180" s="1" t="s">
        <v>111</v>
      </c>
      <c r="C180" s="4">
        <v>304</v>
      </c>
      <c r="D180" s="8">
        <v>10.45</v>
      </c>
      <c r="E180" s="4">
        <v>214</v>
      </c>
      <c r="F180" s="8">
        <v>18.899999999999999</v>
      </c>
      <c r="G180" s="4">
        <v>90</v>
      </c>
      <c r="H180" s="8">
        <v>5.12</v>
      </c>
      <c r="I180" s="4">
        <v>0</v>
      </c>
    </row>
    <row r="181" spans="1:9" x14ac:dyDescent="0.2">
      <c r="A181" s="2">
        <v>3</v>
      </c>
      <c r="B181" s="1" t="s">
        <v>112</v>
      </c>
      <c r="C181" s="4">
        <v>289</v>
      </c>
      <c r="D181" s="8">
        <v>9.93</v>
      </c>
      <c r="E181" s="4">
        <v>180</v>
      </c>
      <c r="F181" s="8">
        <v>15.9</v>
      </c>
      <c r="G181" s="4">
        <v>109</v>
      </c>
      <c r="H181" s="8">
        <v>6.2</v>
      </c>
      <c r="I181" s="4">
        <v>0</v>
      </c>
    </row>
    <row r="182" spans="1:9" x14ac:dyDescent="0.2">
      <c r="A182" s="2">
        <v>4</v>
      </c>
      <c r="B182" s="1" t="s">
        <v>109</v>
      </c>
      <c r="C182" s="4">
        <v>226</v>
      </c>
      <c r="D182" s="8">
        <v>7.77</v>
      </c>
      <c r="E182" s="4">
        <v>150</v>
      </c>
      <c r="F182" s="8">
        <v>13.25</v>
      </c>
      <c r="G182" s="4">
        <v>76</v>
      </c>
      <c r="H182" s="8">
        <v>4.32</v>
      </c>
      <c r="I182" s="4">
        <v>0</v>
      </c>
    </row>
    <row r="183" spans="1:9" x14ac:dyDescent="0.2">
      <c r="A183" s="2">
        <v>5</v>
      </c>
      <c r="B183" s="1" t="s">
        <v>106</v>
      </c>
      <c r="C183" s="4">
        <v>187</v>
      </c>
      <c r="D183" s="8">
        <v>6.43</v>
      </c>
      <c r="E183" s="4">
        <v>78</v>
      </c>
      <c r="F183" s="8">
        <v>6.89</v>
      </c>
      <c r="G183" s="4">
        <v>109</v>
      </c>
      <c r="H183" s="8">
        <v>6.2</v>
      </c>
      <c r="I183" s="4">
        <v>0</v>
      </c>
    </row>
    <row r="184" spans="1:9" x14ac:dyDescent="0.2">
      <c r="A184" s="2">
        <v>6</v>
      </c>
      <c r="B184" s="1" t="s">
        <v>115</v>
      </c>
      <c r="C184" s="4">
        <v>182</v>
      </c>
      <c r="D184" s="8">
        <v>6.25</v>
      </c>
      <c r="E184" s="4">
        <v>148</v>
      </c>
      <c r="F184" s="8">
        <v>13.07</v>
      </c>
      <c r="G184" s="4">
        <v>34</v>
      </c>
      <c r="H184" s="8">
        <v>1.93</v>
      </c>
      <c r="I184" s="4">
        <v>0</v>
      </c>
    </row>
    <row r="185" spans="1:9" x14ac:dyDescent="0.2">
      <c r="A185" s="2">
        <v>7</v>
      </c>
      <c r="B185" s="1" t="s">
        <v>114</v>
      </c>
      <c r="C185" s="4">
        <v>161</v>
      </c>
      <c r="D185" s="8">
        <v>5.53</v>
      </c>
      <c r="E185" s="4">
        <v>85</v>
      </c>
      <c r="F185" s="8">
        <v>7.51</v>
      </c>
      <c r="G185" s="4">
        <v>66</v>
      </c>
      <c r="H185" s="8">
        <v>3.75</v>
      </c>
      <c r="I185" s="4">
        <v>1</v>
      </c>
    </row>
    <row r="186" spans="1:9" x14ac:dyDescent="0.2">
      <c r="A186" s="2">
        <v>8</v>
      </c>
      <c r="B186" s="1" t="s">
        <v>104</v>
      </c>
      <c r="C186" s="4">
        <v>118</v>
      </c>
      <c r="D186" s="8">
        <v>4.05</v>
      </c>
      <c r="E186" s="4">
        <v>50</v>
      </c>
      <c r="F186" s="8">
        <v>4.42</v>
      </c>
      <c r="G186" s="4">
        <v>67</v>
      </c>
      <c r="H186" s="8">
        <v>3.81</v>
      </c>
      <c r="I186" s="4">
        <v>1</v>
      </c>
    </row>
    <row r="187" spans="1:9" x14ac:dyDescent="0.2">
      <c r="A187" s="2">
        <v>9</v>
      </c>
      <c r="B187" s="1" t="s">
        <v>103</v>
      </c>
      <c r="C187" s="4">
        <v>108</v>
      </c>
      <c r="D187" s="8">
        <v>3.71</v>
      </c>
      <c r="E187" s="4">
        <v>26</v>
      </c>
      <c r="F187" s="8">
        <v>2.2999999999999998</v>
      </c>
      <c r="G187" s="4">
        <v>82</v>
      </c>
      <c r="H187" s="8">
        <v>4.66</v>
      </c>
      <c r="I187" s="4">
        <v>0</v>
      </c>
    </row>
    <row r="188" spans="1:9" x14ac:dyDescent="0.2">
      <c r="A188" s="2">
        <v>10</v>
      </c>
      <c r="B188" s="1" t="s">
        <v>107</v>
      </c>
      <c r="C188" s="4">
        <v>104</v>
      </c>
      <c r="D188" s="8">
        <v>3.57</v>
      </c>
      <c r="E188" s="4">
        <v>7</v>
      </c>
      <c r="F188" s="8">
        <v>0.62</v>
      </c>
      <c r="G188" s="4">
        <v>97</v>
      </c>
      <c r="H188" s="8">
        <v>5.51</v>
      </c>
      <c r="I188" s="4">
        <v>0</v>
      </c>
    </row>
    <row r="189" spans="1:9" x14ac:dyDescent="0.2">
      <c r="A189" s="2">
        <v>11</v>
      </c>
      <c r="B189" s="1" t="s">
        <v>110</v>
      </c>
      <c r="C189" s="4">
        <v>84</v>
      </c>
      <c r="D189" s="8">
        <v>2.89</v>
      </c>
      <c r="E189" s="4">
        <v>11</v>
      </c>
      <c r="F189" s="8">
        <v>0.97</v>
      </c>
      <c r="G189" s="4">
        <v>73</v>
      </c>
      <c r="H189" s="8">
        <v>4.1500000000000004</v>
      </c>
      <c r="I189" s="4">
        <v>0</v>
      </c>
    </row>
    <row r="190" spans="1:9" x14ac:dyDescent="0.2">
      <c r="A190" s="2">
        <v>12</v>
      </c>
      <c r="B190" s="1" t="s">
        <v>97</v>
      </c>
      <c r="C190" s="4">
        <v>66</v>
      </c>
      <c r="D190" s="8">
        <v>2.27</v>
      </c>
      <c r="E190" s="4">
        <v>7</v>
      </c>
      <c r="F190" s="8">
        <v>0.62</v>
      </c>
      <c r="G190" s="4">
        <v>59</v>
      </c>
      <c r="H190" s="8">
        <v>3.35</v>
      </c>
      <c r="I190" s="4">
        <v>0</v>
      </c>
    </row>
    <row r="191" spans="1:9" x14ac:dyDescent="0.2">
      <c r="A191" s="2">
        <v>13</v>
      </c>
      <c r="B191" s="1" t="s">
        <v>118</v>
      </c>
      <c r="C191" s="4">
        <v>60</v>
      </c>
      <c r="D191" s="8">
        <v>2.06</v>
      </c>
      <c r="E191" s="4">
        <v>0</v>
      </c>
      <c r="F191" s="8">
        <v>0</v>
      </c>
      <c r="G191" s="4">
        <v>57</v>
      </c>
      <c r="H191" s="8">
        <v>3.24</v>
      </c>
      <c r="I191" s="4">
        <v>2</v>
      </c>
    </row>
    <row r="192" spans="1:9" x14ac:dyDescent="0.2">
      <c r="A192" s="2">
        <v>14</v>
      </c>
      <c r="B192" s="1" t="s">
        <v>119</v>
      </c>
      <c r="C192" s="4">
        <v>52</v>
      </c>
      <c r="D192" s="8">
        <v>1.79</v>
      </c>
      <c r="E192" s="4">
        <v>4</v>
      </c>
      <c r="F192" s="8">
        <v>0.35</v>
      </c>
      <c r="G192" s="4">
        <v>46</v>
      </c>
      <c r="H192" s="8">
        <v>2.62</v>
      </c>
      <c r="I192" s="4">
        <v>2</v>
      </c>
    </row>
    <row r="193" spans="1:9" x14ac:dyDescent="0.2">
      <c r="A193" s="2">
        <v>15</v>
      </c>
      <c r="B193" s="1" t="s">
        <v>98</v>
      </c>
      <c r="C193" s="4">
        <v>49</v>
      </c>
      <c r="D193" s="8">
        <v>1.68</v>
      </c>
      <c r="E193" s="4">
        <v>15</v>
      </c>
      <c r="F193" s="8">
        <v>1.33</v>
      </c>
      <c r="G193" s="4">
        <v>34</v>
      </c>
      <c r="H193" s="8">
        <v>1.93</v>
      </c>
      <c r="I193" s="4">
        <v>0</v>
      </c>
    </row>
    <row r="194" spans="1:9" x14ac:dyDescent="0.2">
      <c r="A194" s="2">
        <v>16</v>
      </c>
      <c r="B194" s="1" t="s">
        <v>99</v>
      </c>
      <c r="C194" s="4">
        <v>48</v>
      </c>
      <c r="D194" s="8">
        <v>1.65</v>
      </c>
      <c r="E194" s="4">
        <v>9</v>
      </c>
      <c r="F194" s="8">
        <v>0.8</v>
      </c>
      <c r="G194" s="4">
        <v>39</v>
      </c>
      <c r="H194" s="8">
        <v>2.2200000000000002</v>
      </c>
      <c r="I194" s="4">
        <v>0</v>
      </c>
    </row>
    <row r="195" spans="1:9" x14ac:dyDescent="0.2">
      <c r="A195" s="2">
        <v>17</v>
      </c>
      <c r="B195" s="1" t="s">
        <v>117</v>
      </c>
      <c r="C195" s="4">
        <v>38</v>
      </c>
      <c r="D195" s="8">
        <v>1.31</v>
      </c>
      <c r="E195" s="4">
        <v>6</v>
      </c>
      <c r="F195" s="8">
        <v>0.53</v>
      </c>
      <c r="G195" s="4">
        <v>32</v>
      </c>
      <c r="H195" s="8">
        <v>1.82</v>
      </c>
      <c r="I195" s="4">
        <v>0</v>
      </c>
    </row>
    <row r="196" spans="1:9" x14ac:dyDescent="0.2">
      <c r="A196" s="2">
        <v>17</v>
      </c>
      <c r="B196" s="1" t="s">
        <v>122</v>
      </c>
      <c r="C196" s="4">
        <v>38</v>
      </c>
      <c r="D196" s="8">
        <v>1.31</v>
      </c>
      <c r="E196" s="4">
        <v>3</v>
      </c>
      <c r="F196" s="8">
        <v>0.27</v>
      </c>
      <c r="G196" s="4">
        <v>35</v>
      </c>
      <c r="H196" s="8">
        <v>1.99</v>
      </c>
      <c r="I196" s="4">
        <v>0</v>
      </c>
    </row>
    <row r="197" spans="1:9" x14ac:dyDescent="0.2">
      <c r="A197" s="2">
        <v>19</v>
      </c>
      <c r="B197" s="1" t="s">
        <v>113</v>
      </c>
      <c r="C197" s="4">
        <v>37</v>
      </c>
      <c r="D197" s="8">
        <v>1.27</v>
      </c>
      <c r="E197" s="4">
        <v>15</v>
      </c>
      <c r="F197" s="8">
        <v>1.33</v>
      </c>
      <c r="G197" s="4">
        <v>22</v>
      </c>
      <c r="H197" s="8">
        <v>1.25</v>
      </c>
      <c r="I197" s="4">
        <v>0</v>
      </c>
    </row>
    <row r="198" spans="1:9" x14ac:dyDescent="0.2">
      <c r="A198" s="2">
        <v>20</v>
      </c>
      <c r="B198" s="1" t="s">
        <v>123</v>
      </c>
      <c r="C198" s="4">
        <v>35</v>
      </c>
      <c r="D198" s="8">
        <v>1.2</v>
      </c>
      <c r="E198" s="4">
        <v>0</v>
      </c>
      <c r="F198" s="8">
        <v>0</v>
      </c>
      <c r="G198" s="4">
        <v>35</v>
      </c>
      <c r="H198" s="8">
        <v>1.99</v>
      </c>
      <c r="I198" s="4">
        <v>0</v>
      </c>
    </row>
    <row r="199" spans="1:9" x14ac:dyDescent="0.2">
      <c r="A199" s="2">
        <v>20</v>
      </c>
      <c r="B199" s="1" t="s">
        <v>105</v>
      </c>
      <c r="C199" s="4">
        <v>35</v>
      </c>
      <c r="D199" s="8">
        <v>1.2</v>
      </c>
      <c r="E199" s="4">
        <v>15</v>
      </c>
      <c r="F199" s="8">
        <v>1.33</v>
      </c>
      <c r="G199" s="4">
        <v>20</v>
      </c>
      <c r="H199" s="8">
        <v>1.1399999999999999</v>
      </c>
      <c r="I199" s="4">
        <v>0</v>
      </c>
    </row>
    <row r="200" spans="1:9" x14ac:dyDescent="0.2">
      <c r="A200" s="2">
        <v>20</v>
      </c>
      <c r="B200" s="1" t="s">
        <v>124</v>
      </c>
      <c r="C200" s="4">
        <v>35</v>
      </c>
      <c r="D200" s="8">
        <v>1.2</v>
      </c>
      <c r="E200" s="4">
        <v>9</v>
      </c>
      <c r="F200" s="8">
        <v>0.8</v>
      </c>
      <c r="G200" s="4">
        <v>25</v>
      </c>
      <c r="H200" s="8">
        <v>1.42</v>
      </c>
      <c r="I200" s="4">
        <v>1</v>
      </c>
    </row>
    <row r="201" spans="1:9" x14ac:dyDescent="0.2">
      <c r="A201" s="1"/>
      <c r="C201" s="4"/>
      <c r="D201" s="8"/>
      <c r="E201" s="4"/>
      <c r="F201" s="8"/>
      <c r="G201" s="4"/>
      <c r="H201" s="8"/>
      <c r="I201" s="4"/>
    </row>
    <row r="202" spans="1:9" x14ac:dyDescent="0.2">
      <c r="A202" s="1" t="s">
        <v>9</v>
      </c>
      <c r="C202" s="4"/>
      <c r="D202" s="8"/>
      <c r="E202" s="4"/>
      <c r="F202" s="8"/>
      <c r="G202" s="4"/>
      <c r="H202" s="8"/>
      <c r="I202" s="4"/>
    </row>
    <row r="203" spans="1:9" x14ac:dyDescent="0.2">
      <c r="A203" s="2">
        <v>1</v>
      </c>
      <c r="B203" s="1" t="s">
        <v>108</v>
      </c>
      <c r="C203" s="4">
        <v>356</v>
      </c>
      <c r="D203" s="8">
        <v>14.05</v>
      </c>
      <c r="E203" s="4">
        <v>54</v>
      </c>
      <c r="F203" s="8">
        <v>6.78</v>
      </c>
      <c r="G203" s="4">
        <v>302</v>
      </c>
      <c r="H203" s="8">
        <v>17.510000000000002</v>
      </c>
      <c r="I203" s="4">
        <v>0</v>
      </c>
    </row>
    <row r="204" spans="1:9" x14ac:dyDescent="0.2">
      <c r="A204" s="2">
        <v>2</v>
      </c>
      <c r="B204" s="1" t="s">
        <v>112</v>
      </c>
      <c r="C204" s="4">
        <v>238</v>
      </c>
      <c r="D204" s="8">
        <v>9.4</v>
      </c>
      <c r="E204" s="4">
        <v>172</v>
      </c>
      <c r="F204" s="8">
        <v>21.61</v>
      </c>
      <c r="G204" s="4">
        <v>66</v>
      </c>
      <c r="H204" s="8">
        <v>3.83</v>
      </c>
      <c r="I204" s="4">
        <v>0</v>
      </c>
    </row>
    <row r="205" spans="1:9" x14ac:dyDescent="0.2">
      <c r="A205" s="2">
        <v>3</v>
      </c>
      <c r="B205" s="1" t="s">
        <v>111</v>
      </c>
      <c r="C205" s="4">
        <v>176</v>
      </c>
      <c r="D205" s="8">
        <v>6.95</v>
      </c>
      <c r="E205" s="4">
        <v>139</v>
      </c>
      <c r="F205" s="8">
        <v>17.46</v>
      </c>
      <c r="G205" s="4">
        <v>37</v>
      </c>
      <c r="H205" s="8">
        <v>2.14</v>
      </c>
      <c r="I205" s="4">
        <v>0</v>
      </c>
    </row>
    <row r="206" spans="1:9" x14ac:dyDescent="0.2">
      <c r="A206" s="2">
        <v>4</v>
      </c>
      <c r="B206" s="1" t="s">
        <v>114</v>
      </c>
      <c r="C206" s="4">
        <v>137</v>
      </c>
      <c r="D206" s="8">
        <v>5.41</v>
      </c>
      <c r="E206" s="4">
        <v>69</v>
      </c>
      <c r="F206" s="8">
        <v>8.67</v>
      </c>
      <c r="G206" s="4">
        <v>61</v>
      </c>
      <c r="H206" s="8">
        <v>3.54</v>
      </c>
      <c r="I206" s="4">
        <v>0</v>
      </c>
    </row>
    <row r="207" spans="1:9" x14ac:dyDescent="0.2">
      <c r="A207" s="2">
        <v>5</v>
      </c>
      <c r="B207" s="1" t="s">
        <v>97</v>
      </c>
      <c r="C207" s="4">
        <v>128</v>
      </c>
      <c r="D207" s="8">
        <v>5.05</v>
      </c>
      <c r="E207" s="4">
        <v>12</v>
      </c>
      <c r="F207" s="8">
        <v>1.51</v>
      </c>
      <c r="G207" s="4">
        <v>116</v>
      </c>
      <c r="H207" s="8">
        <v>6.72</v>
      </c>
      <c r="I207" s="4">
        <v>0</v>
      </c>
    </row>
    <row r="208" spans="1:9" x14ac:dyDescent="0.2">
      <c r="A208" s="2">
        <v>6</v>
      </c>
      <c r="B208" s="1" t="s">
        <v>109</v>
      </c>
      <c r="C208" s="4">
        <v>122</v>
      </c>
      <c r="D208" s="8">
        <v>4.82</v>
      </c>
      <c r="E208" s="4">
        <v>48</v>
      </c>
      <c r="F208" s="8">
        <v>6.03</v>
      </c>
      <c r="G208" s="4">
        <v>74</v>
      </c>
      <c r="H208" s="8">
        <v>4.29</v>
      </c>
      <c r="I208" s="4">
        <v>0</v>
      </c>
    </row>
    <row r="209" spans="1:9" x14ac:dyDescent="0.2">
      <c r="A209" s="2">
        <v>7</v>
      </c>
      <c r="B209" s="1" t="s">
        <v>115</v>
      </c>
      <c r="C209" s="4">
        <v>110</v>
      </c>
      <c r="D209" s="8">
        <v>4.34</v>
      </c>
      <c r="E209" s="4">
        <v>93</v>
      </c>
      <c r="F209" s="8">
        <v>11.68</v>
      </c>
      <c r="G209" s="4">
        <v>17</v>
      </c>
      <c r="H209" s="8">
        <v>0.99</v>
      </c>
      <c r="I209" s="4">
        <v>0</v>
      </c>
    </row>
    <row r="210" spans="1:9" x14ac:dyDescent="0.2">
      <c r="A210" s="2">
        <v>8</v>
      </c>
      <c r="B210" s="1" t="s">
        <v>99</v>
      </c>
      <c r="C210" s="4">
        <v>108</v>
      </c>
      <c r="D210" s="8">
        <v>4.26</v>
      </c>
      <c r="E210" s="4">
        <v>8</v>
      </c>
      <c r="F210" s="8">
        <v>1.01</v>
      </c>
      <c r="G210" s="4">
        <v>100</v>
      </c>
      <c r="H210" s="8">
        <v>5.8</v>
      </c>
      <c r="I210" s="4">
        <v>0</v>
      </c>
    </row>
    <row r="211" spans="1:9" x14ac:dyDescent="0.2">
      <c r="A211" s="2">
        <v>9</v>
      </c>
      <c r="B211" s="1" t="s">
        <v>98</v>
      </c>
      <c r="C211" s="4">
        <v>105</v>
      </c>
      <c r="D211" s="8">
        <v>4.1500000000000004</v>
      </c>
      <c r="E211" s="4">
        <v>20</v>
      </c>
      <c r="F211" s="8">
        <v>2.5099999999999998</v>
      </c>
      <c r="G211" s="4">
        <v>84</v>
      </c>
      <c r="H211" s="8">
        <v>4.87</v>
      </c>
      <c r="I211" s="4">
        <v>1</v>
      </c>
    </row>
    <row r="212" spans="1:9" x14ac:dyDescent="0.2">
      <c r="A212" s="2">
        <v>10</v>
      </c>
      <c r="B212" s="1" t="s">
        <v>106</v>
      </c>
      <c r="C212" s="4">
        <v>93</v>
      </c>
      <c r="D212" s="8">
        <v>3.67</v>
      </c>
      <c r="E212" s="4">
        <v>37</v>
      </c>
      <c r="F212" s="8">
        <v>4.6500000000000004</v>
      </c>
      <c r="G212" s="4">
        <v>56</v>
      </c>
      <c r="H212" s="8">
        <v>3.25</v>
      </c>
      <c r="I212" s="4">
        <v>0</v>
      </c>
    </row>
    <row r="213" spans="1:9" x14ac:dyDescent="0.2">
      <c r="A213" s="2">
        <v>11</v>
      </c>
      <c r="B213" s="1" t="s">
        <v>110</v>
      </c>
      <c r="C213" s="4">
        <v>89</v>
      </c>
      <c r="D213" s="8">
        <v>3.51</v>
      </c>
      <c r="E213" s="4">
        <v>15</v>
      </c>
      <c r="F213" s="8">
        <v>1.88</v>
      </c>
      <c r="G213" s="4">
        <v>72</v>
      </c>
      <c r="H213" s="8">
        <v>4.17</v>
      </c>
      <c r="I213" s="4">
        <v>1</v>
      </c>
    </row>
    <row r="214" spans="1:9" x14ac:dyDescent="0.2">
      <c r="A214" s="2">
        <v>12</v>
      </c>
      <c r="B214" s="1" t="s">
        <v>107</v>
      </c>
      <c r="C214" s="4">
        <v>67</v>
      </c>
      <c r="D214" s="8">
        <v>2.65</v>
      </c>
      <c r="E214" s="4">
        <v>1</v>
      </c>
      <c r="F214" s="8">
        <v>0.13</v>
      </c>
      <c r="G214" s="4">
        <v>66</v>
      </c>
      <c r="H214" s="8">
        <v>3.83</v>
      </c>
      <c r="I214" s="4">
        <v>0</v>
      </c>
    </row>
    <row r="215" spans="1:9" x14ac:dyDescent="0.2">
      <c r="A215" s="2">
        <v>13</v>
      </c>
      <c r="B215" s="1" t="s">
        <v>104</v>
      </c>
      <c r="C215" s="4">
        <v>59</v>
      </c>
      <c r="D215" s="8">
        <v>2.33</v>
      </c>
      <c r="E215" s="4">
        <v>27</v>
      </c>
      <c r="F215" s="8">
        <v>3.39</v>
      </c>
      <c r="G215" s="4">
        <v>32</v>
      </c>
      <c r="H215" s="8">
        <v>1.86</v>
      </c>
      <c r="I215" s="4">
        <v>0</v>
      </c>
    </row>
    <row r="216" spans="1:9" x14ac:dyDescent="0.2">
      <c r="A216" s="2">
        <v>14</v>
      </c>
      <c r="B216" s="1" t="s">
        <v>102</v>
      </c>
      <c r="C216" s="4">
        <v>46</v>
      </c>
      <c r="D216" s="8">
        <v>1.82</v>
      </c>
      <c r="E216" s="4">
        <v>1</v>
      </c>
      <c r="F216" s="8">
        <v>0.13</v>
      </c>
      <c r="G216" s="4">
        <v>45</v>
      </c>
      <c r="H216" s="8">
        <v>2.61</v>
      </c>
      <c r="I216" s="4">
        <v>0</v>
      </c>
    </row>
    <row r="217" spans="1:9" x14ac:dyDescent="0.2">
      <c r="A217" s="2">
        <v>14</v>
      </c>
      <c r="B217" s="1" t="s">
        <v>113</v>
      </c>
      <c r="C217" s="4">
        <v>46</v>
      </c>
      <c r="D217" s="8">
        <v>1.82</v>
      </c>
      <c r="E217" s="4">
        <v>14</v>
      </c>
      <c r="F217" s="8">
        <v>1.76</v>
      </c>
      <c r="G217" s="4">
        <v>32</v>
      </c>
      <c r="H217" s="8">
        <v>1.86</v>
      </c>
      <c r="I217" s="4">
        <v>0</v>
      </c>
    </row>
    <row r="218" spans="1:9" x14ac:dyDescent="0.2">
      <c r="A218" s="2">
        <v>16</v>
      </c>
      <c r="B218" s="1" t="s">
        <v>117</v>
      </c>
      <c r="C218" s="4">
        <v>45</v>
      </c>
      <c r="D218" s="8">
        <v>1.78</v>
      </c>
      <c r="E218" s="4">
        <v>4</v>
      </c>
      <c r="F218" s="8">
        <v>0.5</v>
      </c>
      <c r="G218" s="4">
        <v>40</v>
      </c>
      <c r="H218" s="8">
        <v>2.3199999999999998</v>
      </c>
      <c r="I218" s="4">
        <v>1</v>
      </c>
    </row>
    <row r="219" spans="1:9" x14ac:dyDescent="0.2">
      <c r="A219" s="2">
        <v>16</v>
      </c>
      <c r="B219" s="1" t="s">
        <v>118</v>
      </c>
      <c r="C219" s="4">
        <v>45</v>
      </c>
      <c r="D219" s="8">
        <v>1.78</v>
      </c>
      <c r="E219" s="4">
        <v>2</v>
      </c>
      <c r="F219" s="8">
        <v>0.25</v>
      </c>
      <c r="G219" s="4">
        <v>43</v>
      </c>
      <c r="H219" s="8">
        <v>2.4900000000000002</v>
      </c>
      <c r="I219" s="4">
        <v>0</v>
      </c>
    </row>
    <row r="220" spans="1:9" x14ac:dyDescent="0.2">
      <c r="A220" s="2">
        <v>18</v>
      </c>
      <c r="B220" s="1" t="s">
        <v>119</v>
      </c>
      <c r="C220" s="4">
        <v>44</v>
      </c>
      <c r="D220" s="8">
        <v>1.74</v>
      </c>
      <c r="E220" s="4">
        <v>3</v>
      </c>
      <c r="F220" s="8">
        <v>0.38</v>
      </c>
      <c r="G220" s="4">
        <v>41</v>
      </c>
      <c r="H220" s="8">
        <v>2.38</v>
      </c>
      <c r="I220" s="4">
        <v>0</v>
      </c>
    </row>
    <row r="221" spans="1:9" x14ac:dyDescent="0.2">
      <c r="A221" s="2">
        <v>19</v>
      </c>
      <c r="B221" s="1" t="s">
        <v>123</v>
      </c>
      <c r="C221" s="4">
        <v>42</v>
      </c>
      <c r="D221" s="8">
        <v>1.66</v>
      </c>
      <c r="E221" s="4">
        <v>2</v>
      </c>
      <c r="F221" s="8">
        <v>0.25</v>
      </c>
      <c r="G221" s="4">
        <v>40</v>
      </c>
      <c r="H221" s="8">
        <v>2.3199999999999998</v>
      </c>
      <c r="I221" s="4">
        <v>0</v>
      </c>
    </row>
    <row r="222" spans="1:9" x14ac:dyDescent="0.2">
      <c r="A222" s="2">
        <v>20</v>
      </c>
      <c r="B222" s="1" t="s">
        <v>100</v>
      </c>
      <c r="C222" s="4">
        <v>40</v>
      </c>
      <c r="D222" s="8">
        <v>1.58</v>
      </c>
      <c r="E222" s="4">
        <v>5</v>
      </c>
      <c r="F222" s="8">
        <v>0.63</v>
      </c>
      <c r="G222" s="4">
        <v>35</v>
      </c>
      <c r="H222" s="8">
        <v>2.0299999999999998</v>
      </c>
      <c r="I222" s="4">
        <v>0</v>
      </c>
    </row>
    <row r="223" spans="1:9" x14ac:dyDescent="0.2">
      <c r="A223" s="2">
        <v>20</v>
      </c>
      <c r="B223" s="1" t="s">
        <v>105</v>
      </c>
      <c r="C223" s="4">
        <v>40</v>
      </c>
      <c r="D223" s="8">
        <v>1.58</v>
      </c>
      <c r="E223" s="4">
        <v>14</v>
      </c>
      <c r="F223" s="8">
        <v>1.76</v>
      </c>
      <c r="G223" s="4">
        <v>26</v>
      </c>
      <c r="H223" s="8">
        <v>1.51</v>
      </c>
      <c r="I223" s="4">
        <v>0</v>
      </c>
    </row>
    <row r="224" spans="1:9" x14ac:dyDescent="0.2">
      <c r="A224" s="1"/>
      <c r="C224" s="4"/>
      <c r="D224" s="8"/>
      <c r="E224" s="4"/>
      <c r="F224" s="8"/>
      <c r="G224" s="4"/>
      <c r="H224" s="8"/>
      <c r="I224" s="4"/>
    </row>
    <row r="225" spans="1:9" x14ac:dyDescent="0.2">
      <c r="A225" s="1" t="s">
        <v>10</v>
      </c>
      <c r="C225" s="4"/>
      <c r="D225" s="8"/>
      <c r="E225" s="4"/>
      <c r="F225" s="8"/>
      <c r="G225" s="4"/>
      <c r="H225" s="8"/>
      <c r="I225" s="4"/>
    </row>
    <row r="226" spans="1:9" x14ac:dyDescent="0.2">
      <c r="A226" s="2">
        <v>1</v>
      </c>
      <c r="B226" s="1" t="s">
        <v>108</v>
      </c>
      <c r="C226" s="4">
        <v>140</v>
      </c>
      <c r="D226" s="8">
        <v>8.98</v>
      </c>
      <c r="E226" s="4">
        <v>24</v>
      </c>
      <c r="F226" s="8">
        <v>4.91</v>
      </c>
      <c r="G226" s="4">
        <v>116</v>
      </c>
      <c r="H226" s="8">
        <v>10.88</v>
      </c>
      <c r="I226" s="4">
        <v>0</v>
      </c>
    </row>
    <row r="227" spans="1:9" x14ac:dyDescent="0.2">
      <c r="A227" s="2">
        <v>2</v>
      </c>
      <c r="B227" s="1" t="s">
        <v>112</v>
      </c>
      <c r="C227" s="4">
        <v>122</v>
      </c>
      <c r="D227" s="8">
        <v>7.83</v>
      </c>
      <c r="E227" s="4">
        <v>85</v>
      </c>
      <c r="F227" s="8">
        <v>17.38</v>
      </c>
      <c r="G227" s="4">
        <v>37</v>
      </c>
      <c r="H227" s="8">
        <v>3.47</v>
      </c>
      <c r="I227" s="4">
        <v>0</v>
      </c>
    </row>
    <row r="228" spans="1:9" x14ac:dyDescent="0.2">
      <c r="A228" s="2">
        <v>3</v>
      </c>
      <c r="B228" s="1" t="s">
        <v>97</v>
      </c>
      <c r="C228" s="4">
        <v>114</v>
      </c>
      <c r="D228" s="8">
        <v>7.31</v>
      </c>
      <c r="E228" s="4">
        <v>18</v>
      </c>
      <c r="F228" s="8">
        <v>3.68</v>
      </c>
      <c r="G228" s="4">
        <v>96</v>
      </c>
      <c r="H228" s="8">
        <v>9.01</v>
      </c>
      <c r="I228" s="4">
        <v>0</v>
      </c>
    </row>
    <row r="229" spans="1:9" x14ac:dyDescent="0.2">
      <c r="A229" s="2">
        <v>4</v>
      </c>
      <c r="B229" s="1" t="s">
        <v>98</v>
      </c>
      <c r="C229" s="4">
        <v>103</v>
      </c>
      <c r="D229" s="8">
        <v>6.61</v>
      </c>
      <c r="E229" s="4">
        <v>20</v>
      </c>
      <c r="F229" s="8">
        <v>4.09</v>
      </c>
      <c r="G229" s="4">
        <v>83</v>
      </c>
      <c r="H229" s="8">
        <v>7.79</v>
      </c>
      <c r="I229" s="4">
        <v>0</v>
      </c>
    </row>
    <row r="230" spans="1:9" x14ac:dyDescent="0.2">
      <c r="A230" s="2">
        <v>5</v>
      </c>
      <c r="B230" s="1" t="s">
        <v>99</v>
      </c>
      <c r="C230" s="4">
        <v>80</v>
      </c>
      <c r="D230" s="8">
        <v>5.13</v>
      </c>
      <c r="E230" s="4">
        <v>10</v>
      </c>
      <c r="F230" s="8">
        <v>2.04</v>
      </c>
      <c r="G230" s="4">
        <v>70</v>
      </c>
      <c r="H230" s="8">
        <v>6.57</v>
      </c>
      <c r="I230" s="4">
        <v>0</v>
      </c>
    </row>
    <row r="231" spans="1:9" x14ac:dyDescent="0.2">
      <c r="A231" s="2">
        <v>5</v>
      </c>
      <c r="B231" s="1" t="s">
        <v>111</v>
      </c>
      <c r="C231" s="4">
        <v>80</v>
      </c>
      <c r="D231" s="8">
        <v>5.13</v>
      </c>
      <c r="E231" s="4">
        <v>66</v>
      </c>
      <c r="F231" s="8">
        <v>13.5</v>
      </c>
      <c r="G231" s="4">
        <v>14</v>
      </c>
      <c r="H231" s="8">
        <v>1.31</v>
      </c>
      <c r="I231" s="4">
        <v>0</v>
      </c>
    </row>
    <row r="232" spans="1:9" x14ac:dyDescent="0.2">
      <c r="A232" s="2">
        <v>7</v>
      </c>
      <c r="B232" s="1" t="s">
        <v>114</v>
      </c>
      <c r="C232" s="4">
        <v>76</v>
      </c>
      <c r="D232" s="8">
        <v>4.87</v>
      </c>
      <c r="E232" s="4">
        <v>44</v>
      </c>
      <c r="F232" s="8">
        <v>9</v>
      </c>
      <c r="G232" s="4">
        <v>28</v>
      </c>
      <c r="H232" s="8">
        <v>2.63</v>
      </c>
      <c r="I232" s="4">
        <v>0</v>
      </c>
    </row>
    <row r="233" spans="1:9" x14ac:dyDescent="0.2">
      <c r="A233" s="2">
        <v>8</v>
      </c>
      <c r="B233" s="1" t="s">
        <v>106</v>
      </c>
      <c r="C233" s="4">
        <v>73</v>
      </c>
      <c r="D233" s="8">
        <v>4.68</v>
      </c>
      <c r="E233" s="4">
        <v>21</v>
      </c>
      <c r="F233" s="8">
        <v>4.29</v>
      </c>
      <c r="G233" s="4">
        <v>52</v>
      </c>
      <c r="H233" s="8">
        <v>4.88</v>
      </c>
      <c r="I233" s="4">
        <v>0</v>
      </c>
    </row>
    <row r="234" spans="1:9" x14ac:dyDescent="0.2">
      <c r="A234" s="2">
        <v>9</v>
      </c>
      <c r="B234" s="1" t="s">
        <v>115</v>
      </c>
      <c r="C234" s="4">
        <v>56</v>
      </c>
      <c r="D234" s="8">
        <v>3.59</v>
      </c>
      <c r="E234" s="4">
        <v>48</v>
      </c>
      <c r="F234" s="8">
        <v>9.82</v>
      </c>
      <c r="G234" s="4">
        <v>8</v>
      </c>
      <c r="H234" s="8">
        <v>0.75</v>
      </c>
      <c r="I234" s="4">
        <v>0</v>
      </c>
    </row>
    <row r="235" spans="1:9" x14ac:dyDescent="0.2">
      <c r="A235" s="2">
        <v>10</v>
      </c>
      <c r="B235" s="1" t="s">
        <v>109</v>
      </c>
      <c r="C235" s="4">
        <v>53</v>
      </c>
      <c r="D235" s="8">
        <v>3.4</v>
      </c>
      <c r="E235" s="4">
        <v>22</v>
      </c>
      <c r="F235" s="8">
        <v>4.5</v>
      </c>
      <c r="G235" s="4">
        <v>31</v>
      </c>
      <c r="H235" s="8">
        <v>2.91</v>
      </c>
      <c r="I235" s="4">
        <v>0</v>
      </c>
    </row>
    <row r="236" spans="1:9" x14ac:dyDescent="0.2">
      <c r="A236" s="2">
        <v>11</v>
      </c>
      <c r="B236" s="1" t="s">
        <v>107</v>
      </c>
      <c r="C236" s="4">
        <v>47</v>
      </c>
      <c r="D236" s="8">
        <v>3.01</v>
      </c>
      <c r="E236" s="4">
        <v>4</v>
      </c>
      <c r="F236" s="8">
        <v>0.82</v>
      </c>
      <c r="G236" s="4">
        <v>43</v>
      </c>
      <c r="H236" s="8">
        <v>4.03</v>
      </c>
      <c r="I236" s="4">
        <v>0</v>
      </c>
    </row>
    <row r="237" spans="1:9" x14ac:dyDescent="0.2">
      <c r="A237" s="2">
        <v>12</v>
      </c>
      <c r="B237" s="1" t="s">
        <v>110</v>
      </c>
      <c r="C237" s="4">
        <v>44</v>
      </c>
      <c r="D237" s="8">
        <v>2.82</v>
      </c>
      <c r="E237" s="4">
        <v>10</v>
      </c>
      <c r="F237" s="8">
        <v>2.04</v>
      </c>
      <c r="G237" s="4">
        <v>34</v>
      </c>
      <c r="H237" s="8">
        <v>3.19</v>
      </c>
      <c r="I237" s="4">
        <v>0</v>
      </c>
    </row>
    <row r="238" spans="1:9" x14ac:dyDescent="0.2">
      <c r="A238" s="2">
        <v>13</v>
      </c>
      <c r="B238" s="1" t="s">
        <v>117</v>
      </c>
      <c r="C238" s="4">
        <v>40</v>
      </c>
      <c r="D238" s="8">
        <v>2.57</v>
      </c>
      <c r="E238" s="4">
        <v>4</v>
      </c>
      <c r="F238" s="8">
        <v>0.82</v>
      </c>
      <c r="G238" s="4">
        <v>36</v>
      </c>
      <c r="H238" s="8">
        <v>3.38</v>
      </c>
      <c r="I238" s="4">
        <v>0</v>
      </c>
    </row>
    <row r="239" spans="1:9" x14ac:dyDescent="0.2">
      <c r="A239" s="2">
        <v>14</v>
      </c>
      <c r="B239" s="1" t="s">
        <v>105</v>
      </c>
      <c r="C239" s="4">
        <v>38</v>
      </c>
      <c r="D239" s="8">
        <v>2.44</v>
      </c>
      <c r="E239" s="4">
        <v>9</v>
      </c>
      <c r="F239" s="8">
        <v>1.84</v>
      </c>
      <c r="G239" s="4">
        <v>29</v>
      </c>
      <c r="H239" s="8">
        <v>2.72</v>
      </c>
      <c r="I239" s="4">
        <v>0</v>
      </c>
    </row>
    <row r="240" spans="1:9" x14ac:dyDescent="0.2">
      <c r="A240" s="2">
        <v>15</v>
      </c>
      <c r="B240" s="1" t="s">
        <v>103</v>
      </c>
      <c r="C240" s="4">
        <v>32</v>
      </c>
      <c r="D240" s="8">
        <v>2.0499999999999998</v>
      </c>
      <c r="E240" s="4">
        <v>6</v>
      </c>
      <c r="F240" s="8">
        <v>1.23</v>
      </c>
      <c r="G240" s="4">
        <v>26</v>
      </c>
      <c r="H240" s="8">
        <v>2.44</v>
      </c>
      <c r="I240" s="4">
        <v>0</v>
      </c>
    </row>
    <row r="241" spans="1:9" x14ac:dyDescent="0.2">
      <c r="A241" s="2">
        <v>16</v>
      </c>
      <c r="B241" s="1" t="s">
        <v>104</v>
      </c>
      <c r="C241" s="4">
        <v>31</v>
      </c>
      <c r="D241" s="8">
        <v>1.99</v>
      </c>
      <c r="E241" s="4">
        <v>18</v>
      </c>
      <c r="F241" s="8">
        <v>3.68</v>
      </c>
      <c r="G241" s="4">
        <v>13</v>
      </c>
      <c r="H241" s="8">
        <v>1.22</v>
      </c>
      <c r="I241" s="4">
        <v>0</v>
      </c>
    </row>
    <row r="242" spans="1:9" x14ac:dyDescent="0.2">
      <c r="A242" s="2">
        <v>16</v>
      </c>
      <c r="B242" s="1" t="s">
        <v>118</v>
      </c>
      <c r="C242" s="4">
        <v>31</v>
      </c>
      <c r="D242" s="8">
        <v>1.99</v>
      </c>
      <c r="E242" s="4">
        <v>0</v>
      </c>
      <c r="F242" s="8">
        <v>0</v>
      </c>
      <c r="G242" s="4">
        <v>31</v>
      </c>
      <c r="H242" s="8">
        <v>2.91</v>
      </c>
      <c r="I242" s="4">
        <v>0</v>
      </c>
    </row>
    <row r="243" spans="1:9" x14ac:dyDescent="0.2">
      <c r="A243" s="2">
        <v>18</v>
      </c>
      <c r="B243" s="1" t="s">
        <v>125</v>
      </c>
      <c r="C243" s="4">
        <v>30</v>
      </c>
      <c r="D243" s="8">
        <v>1.92</v>
      </c>
      <c r="E243" s="4">
        <v>8</v>
      </c>
      <c r="F243" s="8">
        <v>1.64</v>
      </c>
      <c r="G243" s="4">
        <v>22</v>
      </c>
      <c r="H243" s="8">
        <v>2.06</v>
      </c>
      <c r="I243" s="4">
        <v>0</v>
      </c>
    </row>
    <row r="244" spans="1:9" x14ac:dyDescent="0.2">
      <c r="A244" s="2">
        <v>19</v>
      </c>
      <c r="B244" s="1" t="s">
        <v>100</v>
      </c>
      <c r="C244" s="4">
        <v>29</v>
      </c>
      <c r="D244" s="8">
        <v>1.86</v>
      </c>
      <c r="E244" s="4">
        <v>9</v>
      </c>
      <c r="F244" s="8">
        <v>1.84</v>
      </c>
      <c r="G244" s="4">
        <v>20</v>
      </c>
      <c r="H244" s="8">
        <v>1.88</v>
      </c>
      <c r="I244" s="4">
        <v>0</v>
      </c>
    </row>
    <row r="245" spans="1:9" x14ac:dyDescent="0.2">
      <c r="A245" s="2">
        <v>19</v>
      </c>
      <c r="B245" s="1" t="s">
        <v>113</v>
      </c>
      <c r="C245" s="4">
        <v>29</v>
      </c>
      <c r="D245" s="8">
        <v>1.86</v>
      </c>
      <c r="E245" s="4">
        <v>8</v>
      </c>
      <c r="F245" s="8">
        <v>1.64</v>
      </c>
      <c r="G245" s="4">
        <v>21</v>
      </c>
      <c r="H245" s="8">
        <v>1.97</v>
      </c>
      <c r="I245" s="4">
        <v>0</v>
      </c>
    </row>
    <row r="246" spans="1:9" x14ac:dyDescent="0.2">
      <c r="A246" s="1"/>
      <c r="C246" s="4"/>
      <c r="D246" s="8"/>
      <c r="E246" s="4"/>
      <c r="F246" s="8"/>
      <c r="G246" s="4"/>
      <c r="H246" s="8"/>
      <c r="I246" s="4"/>
    </row>
    <row r="247" spans="1:9" x14ac:dyDescent="0.2">
      <c r="A247" s="1" t="s">
        <v>11</v>
      </c>
      <c r="C247" s="4"/>
      <c r="D247" s="8"/>
      <c r="E247" s="4"/>
      <c r="F247" s="8"/>
      <c r="G247" s="4"/>
      <c r="H247" s="8"/>
      <c r="I247" s="4"/>
    </row>
    <row r="248" spans="1:9" x14ac:dyDescent="0.2">
      <c r="A248" s="2">
        <v>1</v>
      </c>
      <c r="B248" s="1" t="s">
        <v>112</v>
      </c>
      <c r="C248" s="4">
        <v>203</v>
      </c>
      <c r="D248" s="8">
        <v>8.9600000000000009</v>
      </c>
      <c r="E248" s="4">
        <v>180</v>
      </c>
      <c r="F248" s="8">
        <v>20</v>
      </c>
      <c r="G248" s="4">
        <v>23</v>
      </c>
      <c r="H248" s="8">
        <v>1.69</v>
      </c>
      <c r="I248" s="4">
        <v>0</v>
      </c>
    </row>
    <row r="249" spans="1:9" x14ac:dyDescent="0.2">
      <c r="A249" s="2">
        <v>2</v>
      </c>
      <c r="B249" s="1" t="s">
        <v>98</v>
      </c>
      <c r="C249" s="4">
        <v>168</v>
      </c>
      <c r="D249" s="8">
        <v>7.41</v>
      </c>
      <c r="E249" s="4">
        <v>56</v>
      </c>
      <c r="F249" s="8">
        <v>6.22</v>
      </c>
      <c r="G249" s="4">
        <v>112</v>
      </c>
      <c r="H249" s="8">
        <v>8.25</v>
      </c>
      <c r="I249" s="4">
        <v>0</v>
      </c>
    </row>
    <row r="250" spans="1:9" x14ac:dyDescent="0.2">
      <c r="A250" s="2">
        <v>3</v>
      </c>
      <c r="B250" s="1" t="s">
        <v>108</v>
      </c>
      <c r="C250" s="4">
        <v>147</v>
      </c>
      <c r="D250" s="8">
        <v>6.49</v>
      </c>
      <c r="E250" s="4">
        <v>33</v>
      </c>
      <c r="F250" s="8">
        <v>3.67</v>
      </c>
      <c r="G250" s="4">
        <v>114</v>
      </c>
      <c r="H250" s="8">
        <v>8.4</v>
      </c>
      <c r="I250" s="4">
        <v>0</v>
      </c>
    </row>
    <row r="251" spans="1:9" x14ac:dyDescent="0.2">
      <c r="A251" s="2">
        <v>4</v>
      </c>
      <c r="B251" s="1" t="s">
        <v>97</v>
      </c>
      <c r="C251" s="4">
        <v>144</v>
      </c>
      <c r="D251" s="8">
        <v>6.35</v>
      </c>
      <c r="E251" s="4">
        <v>29</v>
      </c>
      <c r="F251" s="8">
        <v>3.22</v>
      </c>
      <c r="G251" s="4">
        <v>115</v>
      </c>
      <c r="H251" s="8">
        <v>8.4700000000000006</v>
      </c>
      <c r="I251" s="4">
        <v>0</v>
      </c>
    </row>
    <row r="252" spans="1:9" x14ac:dyDescent="0.2">
      <c r="A252" s="2">
        <v>5</v>
      </c>
      <c r="B252" s="1" t="s">
        <v>111</v>
      </c>
      <c r="C252" s="4">
        <v>133</v>
      </c>
      <c r="D252" s="8">
        <v>5.87</v>
      </c>
      <c r="E252" s="4">
        <v>119</v>
      </c>
      <c r="F252" s="8">
        <v>13.22</v>
      </c>
      <c r="G252" s="4">
        <v>14</v>
      </c>
      <c r="H252" s="8">
        <v>1.03</v>
      </c>
      <c r="I252" s="4">
        <v>0</v>
      </c>
    </row>
    <row r="253" spans="1:9" x14ac:dyDescent="0.2">
      <c r="A253" s="2">
        <v>6</v>
      </c>
      <c r="B253" s="1" t="s">
        <v>106</v>
      </c>
      <c r="C253" s="4">
        <v>117</v>
      </c>
      <c r="D253" s="8">
        <v>5.16</v>
      </c>
      <c r="E253" s="4">
        <v>47</v>
      </c>
      <c r="F253" s="8">
        <v>5.22</v>
      </c>
      <c r="G253" s="4">
        <v>70</v>
      </c>
      <c r="H253" s="8">
        <v>5.16</v>
      </c>
      <c r="I253" s="4">
        <v>0</v>
      </c>
    </row>
    <row r="254" spans="1:9" x14ac:dyDescent="0.2">
      <c r="A254" s="2">
        <v>7</v>
      </c>
      <c r="B254" s="1" t="s">
        <v>99</v>
      </c>
      <c r="C254" s="4">
        <v>107</v>
      </c>
      <c r="D254" s="8">
        <v>4.72</v>
      </c>
      <c r="E254" s="4">
        <v>10</v>
      </c>
      <c r="F254" s="8">
        <v>1.1100000000000001</v>
      </c>
      <c r="G254" s="4">
        <v>97</v>
      </c>
      <c r="H254" s="8">
        <v>7.15</v>
      </c>
      <c r="I254" s="4">
        <v>0</v>
      </c>
    </row>
    <row r="255" spans="1:9" x14ac:dyDescent="0.2">
      <c r="A255" s="2">
        <v>8</v>
      </c>
      <c r="B255" s="1" t="s">
        <v>100</v>
      </c>
      <c r="C255" s="4">
        <v>85</v>
      </c>
      <c r="D255" s="8">
        <v>3.75</v>
      </c>
      <c r="E255" s="4">
        <v>19</v>
      </c>
      <c r="F255" s="8">
        <v>2.11</v>
      </c>
      <c r="G255" s="4">
        <v>66</v>
      </c>
      <c r="H255" s="8">
        <v>4.8600000000000003</v>
      </c>
      <c r="I255" s="4">
        <v>0</v>
      </c>
    </row>
    <row r="256" spans="1:9" x14ac:dyDescent="0.2">
      <c r="A256" s="2">
        <v>9</v>
      </c>
      <c r="B256" s="1" t="s">
        <v>105</v>
      </c>
      <c r="C256" s="4">
        <v>75</v>
      </c>
      <c r="D256" s="8">
        <v>3.31</v>
      </c>
      <c r="E256" s="4">
        <v>33</v>
      </c>
      <c r="F256" s="8">
        <v>3.67</v>
      </c>
      <c r="G256" s="4">
        <v>42</v>
      </c>
      <c r="H256" s="8">
        <v>3.1</v>
      </c>
      <c r="I256" s="4">
        <v>0</v>
      </c>
    </row>
    <row r="257" spans="1:9" x14ac:dyDescent="0.2">
      <c r="A257" s="2">
        <v>10</v>
      </c>
      <c r="B257" s="1" t="s">
        <v>104</v>
      </c>
      <c r="C257" s="4">
        <v>72</v>
      </c>
      <c r="D257" s="8">
        <v>3.18</v>
      </c>
      <c r="E257" s="4">
        <v>59</v>
      </c>
      <c r="F257" s="8">
        <v>6.56</v>
      </c>
      <c r="G257" s="4">
        <v>13</v>
      </c>
      <c r="H257" s="8">
        <v>0.96</v>
      </c>
      <c r="I257" s="4">
        <v>0</v>
      </c>
    </row>
    <row r="258" spans="1:9" x14ac:dyDescent="0.2">
      <c r="A258" s="2">
        <v>11</v>
      </c>
      <c r="B258" s="1" t="s">
        <v>115</v>
      </c>
      <c r="C258" s="4">
        <v>60</v>
      </c>
      <c r="D258" s="8">
        <v>2.65</v>
      </c>
      <c r="E258" s="4">
        <v>52</v>
      </c>
      <c r="F258" s="8">
        <v>5.78</v>
      </c>
      <c r="G258" s="4">
        <v>8</v>
      </c>
      <c r="H258" s="8">
        <v>0.59</v>
      </c>
      <c r="I258" s="4">
        <v>0</v>
      </c>
    </row>
    <row r="259" spans="1:9" x14ac:dyDescent="0.2">
      <c r="A259" s="2">
        <v>12</v>
      </c>
      <c r="B259" s="1" t="s">
        <v>120</v>
      </c>
      <c r="C259" s="4">
        <v>56</v>
      </c>
      <c r="D259" s="8">
        <v>2.4700000000000002</v>
      </c>
      <c r="E259" s="4">
        <v>7</v>
      </c>
      <c r="F259" s="8">
        <v>0.78</v>
      </c>
      <c r="G259" s="4">
        <v>49</v>
      </c>
      <c r="H259" s="8">
        <v>3.61</v>
      </c>
      <c r="I259" s="4">
        <v>0</v>
      </c>
    </row>
    <row r="260" spans="1:9" x14ac:dyDescent="0.2">
      <c r="A260" s="2">
        <v>13</v>
      </c>
      <c r="B260" s="1" t="s">
        <v>125</v>
      </c>
      <c r="C260" s="4">
        <v>55</v>
      </c>
      <c r="D260" s="8">
        <v>2.4300000000000002</v>
      </c>
      <c r="E260" s="4">
        <v>24</v>
      </c>
      <c r="F260" s="8">
        <v>2.67</v>
      </c>
      <c r="G260" s="4">
        <v>31</v>
      </c>
      <c r="H260" s="8">
        <v>2.2799999999999998</v>
      </c>
      <c r="I260" s="4">
        <v>0</v>
      </c>
    </row>
    <row r="261" spans="1:9" x14ac:dyDescent="0.2">
      <c r="A261" s="2">
        <v>14</v>
      </c>
      <c r="B261" s="1" t="s">
        <v>114</v>
      </c>
      <c r="C261" s="4">
        <v>53</v>
      </c>
      <c r="D261" s="8">
        <v>2.34</v>
      </c>
      <c r="E261" s="4">
        <v>36</v>
      </c>
      <c r="F261" s="8">
        <v>4</v>
      </c>
      <c r="G261" s="4">
        <v>13</v>
      </c>
      <c r="H261" s="8">
        <v>0.96</v>
      </c>
      <c r="I261" s="4">
        <v>0</v>
      </c>
    </row>
    <row r="262" spans="1:9" x14ac:dyDescent="0.2">
      <c r="A262" s="2">
        <v>15</v>
      </c>
      <c r="B262" s="1" t="s">
        <v>109</v>
      </c>
      <c r="C262" s="4">
        <v>49</v>
      </c>
      <c r="D262" s="8">
        <v>2.16</v>
      </c>
      <c r="E262" s="4">
        <v>35</v>
      </c>
      <c r="F262" s="8">
        <v>3.89</v>
      </c>
      <c r="G262" s="4">
        <v>14</v>
      </c>
      <c r="H262" s="8">
        <v>1.03</v>
      </c>
      <c r="I262" s="4">
        <v>0</v>
      </c>
    </row>
    <row r="263" spans="1:9" x14ac:dyDescent="0.2">
      <c r="A263" s="2">
        <v>16</v>
      </c>
      <c r="B263" s="1" t="s">
        <v>102</v>
      </c>
      <c r="C263" s="4">
        <v>45</v>
      </c>
      <c r="D263" s="8">
        <v>1.99</v>
      </c>
      <c r="E263" s="4">
        <v>3</v>
      </c>
      <c r="F263" s="8">
        <v>0.33</v>
      </c>
      <c r="G263" s="4">
        <v>42</v>
      </c>
      <c r="H263" s="8">
        <v>3.1</v>
      </c>
      <c r="I263" s="4">
        <v>0</v>
      </c>
    </row>
    <row r="264" spans="1:9" x14ac:dyDescent="0.2">
      <c r="A264" s="2">
        <v>17</v>
      </c>
      <c r="B264" s="1" t="s">
        <v>116</v>
      </c>
      <c r="C264" s="4">
        <v>44</v>
      </c>
      <c r="D264" s="8">
        <v>1.94</v>
      </c>
      <c r="E264" s="4">
        <v>21</v>
      </c>
      <c r="F264" s="8">
        <v>2.33</v>
      </c>
      <c r="G264" s="4">
        <v>23</v>
      </c>
      <c r="H264" s="8">
        <v>1.69</v>
      </c>
      <c r="I264" s="4">
        <v>0</v>
      </c>
    </row>
    <row r="265" spans="1:9" x14ac:dyDescent="0.2">
      <c r="A265" s="2">
        <v>18</v>
      </c>
      <c r="B265" s="1" t="s">
        <v>117</v>
      </c>
      <c r="C265" s="4">
        <v>42</v>
      </c>
      <c r="D265" s="8">
        <v>1.85</v>
      </c>
      <c r="E265" s="4">
        <v>8</v>
      </c>
      <c r="F265" s="8">
        <v>0.89</v>
      </c>
      <c r="G265" s="4">
        <v>34</v>
      </c>
      <c r="H265" s="8">
        <v>2.5099999999999998</v>
      </c>
      <c r="I265" s="4">
        <v>0</v>
      </c>
    </row>
    <row r="266" spans="1:9" x14ac:dyDescent="0.2">
      <c r="A266" s="2">
        <v>18</v>
      </c>
      <c r="B266" s="1" t="s">
        <v>110</v>
      </c>
      <c r="C266" s="4">
        <v>42</v>
      </c>
      <c r="D266" s="8">
        <v>1.85</v>
      </c>
      <c r="E266" s="4">
        <v>15</v>
      </c>
      <c r="F266" s="8">
        <v>1.67</v>
      </c>
      <c r="G266" s="4">
        <v>27</v>
      </c>
      <c r="H266" s="8">
        <v>1.99</v>
      </c>
      <c r="I266" s="4">
        <v>0</v>
      </c>
    </row>
    <row r="267" spans="1:9" x14ac:dyDescent="0.2">
      <c r="A267" s="2">
        <v>20</v>
      </c>
      <c r="B267" s="1" t="s">
        <v>118</v>
      </c>
      <c r="C267" s="4">
        <v>37</v>
      </c>
      <c r="D267" s="8">
        <v>1.63</v>
      </c>
      <c r="E267" s="4">
        <v>0</v>
      </c>
      <c r="F267" s="8">
        <v>0</v>
      </c>
      <c r="G267" s="4">
        <v>35</v>
      </c>
      <c r="H267" s="8">
        <v>2.58</v>
      </c>
      <c r="I267" s="4">
        <v>2</v>
      </c>
    </row>
    <row r="268" spans="1:9" x14ac:dyDescent="0.2">
      <c r="A268" s="1"/>
      <c r="C268" s="4"/>
      <c r="D268" s="8"/>
      <c r="E268" s="4"/>
      <c r="F268" s="8"/>
      <c r="G268" s="4"/>
      <c r="H268" s="8"/>
      <c r="I268" s="4"/>
    </row>
    <row r="269" spans="1:9" x14ac:dyDescent="0.2">
      <c r="A269" s="1" t="s">
        <v>12</v>
      </c>
      <c r="C269" s="4"/>
      <c r="D269" s="8"/>
      <c r="E269" s="4"/>
      <c r="F269" s="8"/>
      <c r="G269" s="4"/>
      <c r="H269" s="8"/>
      <c r="I269" s="4"/>
    </row>
    <row r="270" spans="1:9" x14ac:dyDescent="0.2">
      <c r="A270" s="2">
        <v>1</v>
      </c>
      <c r="B270" s="1" t="s">
        <v>112</v>
      </c>
      <c r="C270" s="4">
        <v>542</v>
      </c>
      <c r="D270" s="8">
        <v>9.24</v>
      </c>
      <c r="E270" s="4">
        <v>435</v>
      </c>
      <c r="F270" s="8">
        <v>18.18</v>
      </c>
      <c r="G270" s="4">
        <v>107</v>
      </c>
      <c r="H270" s="8">
        <v>3.1</v>
      </c>
      <c r="I270" s="4">
        <v>0</v>
      </c>
    </row>
    <row r="271" spans="1:9" x14ac:dyDescent="0.2">
      <c r="A271" s="2">
        <v>2</v>
      </c>
      <c r="B271" s="1" t="s">
        <v>111</v>
      </c>
      <c r="C271" s="4">
        <v>525</v>
      </c>
      <c r="D271" s="8">
        <v>8.9499999999999993</v>
      </c>
      <c r="E271" s="4">
        <v>404</v>
      </c>
      <c r="F271" s="8">
        <v>16.88</v>
      </c>
      <c r="G271" s="4">
        <v>121</v>
      </c>
      <c r="H271" s="8">
        <v>3.51</v>
      </c>
      <c r="I271" s="4">
        <v>0</v>
      </c>
    </row>
    <row r="272" spans="1:9" x14ac:dyDescent="0.2">
      <c r="A272" s="2">
        <v>3</v>
      </c>
      <c r="B272" s="1" t="s">
        <v>108</v>
      </c>
      <c r="C272" s="4">
        <v>422</v>
      </c>
      <c r="D272" s="8">
        <v>7.19</v>
      </c>
      <c r="E272" s="4">
        <v>75</v>
      </c>
      <c r="F272" s="8">
        <v>3.13</v>
      </c>
      <c r="G272" s="4">
        <v>347</v>
      </c>
      <c r="H272" s="8">
        <v>10.06</v>
      </c>
      <c r="I272" s="4">
        <v>0</v>
      </c>
    </row>
    <row r="273" spans="1:9" x14ac:dyDescent="0.2">
      <c r="A273" s="2">
        <v>4</v>
      </c>
      <c r="B273" s="1" t="s">
        <v>98</v>
      </c>
      <c r="C273" s="4">
        <v>357</v>
      </c>
      <c r="D273" s="8">
        <v>6.08</v>
      </c>
      <c r="E273" s="4">
        <v>94</v>
      </c>
      <c r="F273" s="8">
        <v>3.93</v>
      </c>
      <c r="G273" s="4">
        <v>263</v>
      </c>
      <c r="H273" s="8">
        <v>7.62</v>
      </c>
      <c r="I273" s="4">
        <v>0</v>
      </c>
    </row>
    <row r="274" spans="1:9" x14ac:dyDescent="0.2">
      <c r="A274" s="2">
        <v>5</v>
      </c>
      <c r="B274" s="1" t="s">
        <v>97</v>
      </c>
      <c r="C274" s="4">
        <v>310</v>
      </c>
      <c r="D274" s="8">
        <v>5.28</v>
      </c>
      <c r="E274" s="4">
        <v>56</v>
      </c>
      <c r="F274" s="8">
        <v>2.34</v>
      </c>
      <c r="G274" s="4">
        <v>254</v>
      </c>
      <c r="H274" s="8">
        <v>7.36</v>
      </c>
      <c r="I274" s="4">
        <v>0</v>
      </c>
    </row>
    <row r="275" spans="1:9" x14ac:dyDescent="0.2">
      <c r="A275" s="2">
        <v>6</v>
      </c>
      <c r="B275" s="1" t="s">
        <v>106</v>
      </c>
      <c r="C275" s="4">
        <v>302</v>
      </c>
      <c r="D275" s="8">
        <v>5.15</v>
      </c>
      <c r="E275" s="4">
        <v>129</v>
      </c>
      <c r="F275" s="8">
        <v>5.39</v>
      </c>
      <c r="G275" s="4">
        <v>173</v>
      </c>
      <c r="H275" s="8">
        <v>5.01</v>
      </c>
      <c r="I275" s="4">
        <v>0</v>
      </c>
    </row>
    <row r="276" spans="1:9" x14ac:dyDescent="0.2">
      <c r="A276" s="2">
        <v>7</v>
      </c>
      <c r="B276" s="1" t="s">
        <v>104</v>
      </c>
      <c r="C276" s="4">
        <v>285</v>
      </c>
      <c r="D276" s="8">
        <v>4.8600000000000003</v>
      </c>
      <c r="E276" s="4">
        <v>170</v>
      </c>
      <c r="F276" s="8">
        <v>7.1</v>
      </c>
      <c r="G276" s="4">
        <v>115</v>
      </c>
      <c r="H276" s="8">
        <v>3.33</v>
      </c>
      <c r="I276" s="4">
        <v>0</v>
      </c>
    </row>
    <row r="277" spans="1:9" x14ac:dyDescent="0.2">
      <c r="A277" s="2">
        <v>8</v>
      </c>
      <c r="B277" s="1" t="s">
        <v>99</v>
      </c>
      <c r="C277" s="4">
        <v>259</v>
      </c>
      <c r="D277" s="8">
        <v>4.41</v>
      </c>
      <c r="E277" s="4">
        <v>34</v>
      </c>
      <c r="F277" s="8">
        <v>1.42</v>
      </c>
      <c r="G277" s="4">
        <v>225</v>
      </c>
      <c r="H277" s="8">
        <v>6.52</v>
      </c>
      <c r="I277" s="4">
        <v>0</v>
      </c>
    </row>
    <row r="278" spans="1:9" x14ac:dyDescent="0.2">
      <c r="A278" s="2">
        <v>9</v>
      </c>
      <c r="B278" s="1" t="s">
        <v>115</v>
      </c>
      <c r="C278" s="4">
        <v>244</v>
      </c>
      <c r="D278" s="8">
        <v>4.16</v>
      </c>
      <c r="E278" s="4">
        <v>198</v>
      </c>
      <c r="F278" s="8">
        <v>8.27</v>
      </c>
      <c r="G278" s="4">
        <v>46</v>
      </c>
      <c r="H278" s="8">
        <v>1.33</v>
      </c>
      <c r="I278" s="4">
        <v>0</v>
      </c>
    </row>
    <row r="279" spans="1:9" x14ac:dyDescent="0.2">
      <c r="A279" s="2">
        <v>10</v>
      </c>
      <c r="B279" s="1" t="s">
        <v>114</v>
      </c>
      <c r="C279" s="4">
        <v>236</v>
      </c>
      <c r="D279" s="8">
        <v>4.0199999999999996</v>
      </c>
      <c r="E279" s="4">
        <v>164</v>
      </c>
      <c r="F279" s="8">
        <v>6.85</v>
      </c>
      <c r="G279" s="4">
        <v>65</v>
      </c>
      <c r="H279" s="8">
        <v>1.88</v>
      </c>
      <c r="I279" s="4">
        <v>1</v>
      </c>
    </row>
    <row r="280" spans="1:9" x14ac:dyDescent="0.2">
      <c r="A280" s="2">
        <v>11</v>
      </c>
      <c r="B280" s="1" t="s">
        <v>109</v>
      </c>
      <c r="C280" s="4">
        <v>224</v>
      </c>
      <c r="D280" s="8">
        <v>3.82</v>
      </c>
      <c r="E280" s="4">
        <v>139</v>
      </c>
      <c r="F280" s="8">
        <v>5.81</v>
      </c>
      <c r="G280" s="4">
        <v>85</v>
      </c>
      <c r="H280" s="8">
        <v>2.46</v>
      </c>
      <c r="I280" s="4">
        <v>0</v>
      </c>
    </row>
    <row r="281" spans="1:9" x14ac:dyDescent="0.2">
      <c r="A281" s="2">
        <v>12</v>
      </c>
      <c r="B281" s="1" t="s">
        <v>105</v>
      </c>
      <c r="C281" s="4">
        <v>163</v>
      </c>
      <c r="D281" s="8">
        <v>2.78</v>
      </c>
      <c r="E281" s="4">
        <v>72</v>
      </c>
      <c r="F281" s="8">
        <v>3.01</v>
      </c>
      <c r="G281" s="4">
        <v>91</v>
      </c>
      <c r="H281" s="8">
        <v>2.64</v>
      </c>
      <c r="I281" s="4">
        <v>0</v>
      </c>
    </row>
    <row r="282" spans="1:9" x14ac:dyDescent="0.2">
      <c r="A282" s="2">
        <v>13</v>
      </c>
      <c r="B282" s="1" t="s">
        <v>103</v>
      </c>
      <c r="C282" s="4">
        <v>143</v>
      </c>
      <c r="D282" s="8">
        <v>2.44</v>
      </c>
      <c r="E282" s="4">
        <v>55</v>
      </c>
      <c r="F282" s="8">
        <v>2.2999999999999998</v>
      </c>
      <c r="G282" s="4">
        <v>88</v>
      </c>
      <c r="H282" s="8">
        <v>2.5499999999999998</v>
      </c>
      <c r="I282" s="4">
        <v>0</v>
      </c>
    </row>
    <row r="283" spans="1:9" x14ac:dyDescent="0.2">
      <c r="A283" s="2">
        <v>14</v>
      </c>
      <c r="B283" s="1" t="s">
        <v>110</v>
      </c>
      <c r="C283" s="4">
        <v>136</v>
      </c>
      <c r="D283" s="8">
        <v>2.3199999999999998</v>
      </c>
      <c r="E283" s="4">
        <v>43</v>
      </c>
      <c r="F283" s="8">
        <v>1.8</v>
      </c>
      <c r="G283" s="4">
        <v>91</v>
      </c>
      <c r="H283" s="8">
        <v>2.64</v>
      </c>
      <c r="I283" s="4">
        <v>0</v>
      </c>
    </row>
    <row r="284" spans="1:9" x14ac:dyDescent="0.2">
      <c r="A284" s="2">
        <v>15</v>
      </c>
      <c r="B284" s="1" t="s">
        <v>107</v>
      </c>
      <c r="C284" s="4">
        <v>134</v>
      </c>
      <c r="D284" s="8">
        <v>2.2799999999999998</v>
      </c>
      <c r="E284" s="4">
        <v>15</v>
      </c>
      <c r="F284" s="8">
        <v>0.63</v>
      </c>
      <c r="G284" s="4">
        <v>119</v>
      </c>
      <c r="H284" s="8">
        <v>3.45</v>
      </c>
      <c r="I284" s="4">
        <v>0</v>
      </c>
    </row>
    <row r="285" spans="1:9" x14ac:dyDescent="0.2">
      <c r="A285" s="2">
        <v>16</v>
      </c>
      <c r="B285" s="1" t="s">
        <v>113</v>
      </c>
      <c r="C285" s="4">
        <v>106</v>
      </c>
      <c r="D285" s="8">
        <v>1.81</v>
      </c>
      <c r="E285" s="4">
        <v>37</v>
      </c>
      <c r="F285" s="8">
        <v>1.55</v>
      </c>
      <c r="G285" s="4">
        <v>69</v>
      </c>
      <c r="H285" s="8">
        <v>2</v>
      </c>
      <c r="I285" s="4">
        <v>0</v>
      </c>
    </row>
    <row r="286" spans="1:9" x14ac:dyDescent="0.2">
      <c r="A286" s="2">
        <v>17</v>
      </c>
      <c r="B286" s="1" t="s">
        <v>100</v>
      </c>
      <c r="C286" s="4">
        <v>97</v>
      </c>
      <c r="D286" s="8">
        <v>1.65</v>
      </c>
      <c r="E286" s="4">
        <v>22</v>
      </c>
      <c r="F286" s="8">
        <v>0.92</v>
      </c>
      <c r="G286" s="4">
        <v>75</v>
      </c>
      <c r="H286" s="8">
        <v>2.17</v>
      </c>
      <c r="I286" s="4">
        <v>0</v>
      </c>
    </row>
    <row r="287" spans="1:9" x14ac:dyDescent="0.2">
      <c r="A287" s="2">
        <v>18</v>
      </c>
      <c r="B287" s="1" t="s">
        <v>119</v>
      </c>
      <c r="C287" s="4">
        <v>90</v>
      </c>
      <c r="D287" s="8">
        <v>1.53</v>
      </c>
      <c r="E287" s="4">
        <v>8</v>
      </c>
      <c r="F287" s="8">
        <v>0.33</v>
      </c>
      <c r="G287" s="4">
        <v>80</v>
      </c>
      <c r="H287" s="8">
        <v>2.3199999999999998</v>
      </c>
      <c r="I287" s="4">
        <v>1</v>
      </c>
    </row>
    <row r="288" spans="1:9" x14ac:dyDescent="0.2">
      <c r="A288" s="2">
        <v>19</v>
      </c>
      <c r="B288" s="1" t="s">
        <v>116</v>
      </c>
      <c r="C288" s="4">
        <v>86</v>
      </c>
      <c r="D288" s="8">
        <v>1.47</v>
      </c>
      <c r="E288" s="4">
        <v>46</v>
      </c>
      <c r="F288" s="8">
        <v>1.92</v>
      </c>
      <c r="G288" s="4">
        <v>40</v>
      </c>
      <c r="H288" s="8">
        <v>1.1599999999999999</v>
      </c>
      <c r="I288" s="4">
        <v>0</v>
      </c>
    </row>
    <row r="289" spans="1:9" x14ac:dyDescent="0.2">
      <c r="A289" s="2">
        <v>20</v>
      </c>
      <c r="B289" s="1" t="s">
        <v>102</v>
      </c>
      <c r="C289" s="4">
        <v>79</v>
      </c>
      <c r="D289" s="8">
        <v>1.35</v>
      </c>
      <c r="E289" s="4">
        <v>7</v>
      </c>
      <c r="F289" s="8">
        <v>0.28999999999999998</v>
      </c>
      <c r="G289" s="4">
        <v>72</v>
      </c>
      <c r="H289" s="8">
        <v>2.09</v>
      </c>
      <c r="I289" s="4">
        <v>0</v>
      </c>
    </row>
    <row r="290" spans="1:9" x14ac:dyDescent="0.2">
      <c r="A290" s="1"/>
      <c r="C290" s="4"/>
      <c r="D290" s="8"/>
      <c r="E290" s="4"/>
      <c r="F290" s="8"/>
      <c r="G290" s="4"/>
      <c r="H290" s="8"/>
      <c r="I290" s="4"/>
    </row>
    <row r="291" spans="1:9" x14ac:dyDescent="0.2">
      <c r="A291" s="1" t="s">
        <v>13</v>
      </c>
      <c r="C291" s="4"/>
      <c r="D291" s="8"/>
      <c r="E291" s="4"/>
      <c r="F291" s="8"/>
      <c r="G291" s="4"/>
      <c r="H291" s="8"/>
      <c r="I291" s="4"/>
    </row>
    <row r="292" spans="1:9" x14ac:dyDescent="0.2">
      <c r="A292" s="2">
        <v>1</v>
      </c>
      <c r="B292" s="1" t="s">
        <v>111</v>
      </c>
      <c r="C292" s="4">
        <v>484</v>
      </c>
      <c r="D292" s="8">
        <v>10.67</v>
      </c>
      <c r="E292" s="4">
        <v>393</v>
      </c>
      <c r="F292" s="8">
        <v>17.5</v>
      </c>
      <c r="G292" s="4">
        <v>91</v>
      </c>
      <c r="H292" s="8">
        <v>4.05</v>
      </c>
      <c r="I292" s="4">
        <v>0</v>
      </c>
    </row>
    <row r="293" spans="1:9" x14ac:dyDescent="0.2">
      <c r="A293" s="2">
        <v>2</v>
      </c>
      <c r="B293" s="1" t="s">
        <v>112</v>
      </c>
      <c r="C293" s="4">
        <v>466</v>
      </c>
      <c r="D293" s="8">
        <v>10.27</v>
      </c>
      <c r="E293" s="4">
        <v>411</v>
      </c>
      <c r="F293" s="8">
        <v>18.3</v>
      </c>
      <c r="G293" s="4">
        <v>55</v>
      </c>
      <c r="H293" s="8">
        <v>2.4500000000000002</v>
      </c>
      <c r="I293" s="4">
        <v>0</v>
      </c>
    </row>
    <row r="294" spans="1:9" x14ac:dyDescent="0.2">
      <c r="A294" s="2">
        <v>3</v>
      </c>
      <c r="B294" s="1" t="s">
        <v>97</v>
      </c>
      <c r="C294" s="4">
        <v>300</v>
      </c>
      <c r="D294" s="8">
        <v>6.61</v>
      </c>
      <c r="E294" s="4">
        <v>96</v>
      </c>
      <c r="F294" s="8">
        <v>4.2699999999999996</v>
      </c>
      <c r="G294" s="4">
        <v>204</v>
      </c>
      <c r="H294" s="8">
        <v>9.08</v>
      </c>
      <c r="I294" s="4">
        <v>0</v>
      </c>
    </row>
    <row r="295" spans="1:9" x14ac:dyDescent="0.2">
      <c r="A295" s="2">
        <v>4</v>
      </c>
      <c r="B295" s="1" t="s">
        <v>106</v>
      </c>
      <c r="C295" s="4">
        <v>296</v>
      </c>
      <c r="D295" s="8">
        <v>6.52</v>
      </c>
      <c r="E295" s="4">
        <v>132</v>
      </c>
      <c r="F295" s="8">
        <v>5.88</v>
      </c>
      <c r="G295" s="4">
        <v>163</v>
      </c>
      <c r="H295" s="8">
        <v>7.26</v>
      </c>
      <c r="I295" s="4">
        <v>1</v>
      </c>
    </row>
    <row r="296" spans="1:9" x14ac:dyDescent="0.2">
      <c r="A296" s="2">
        <v>5</v>
      </c>
      <c r="B296" s="1" t="s">
        <v>108</v>
      </c>
      <c r="C296" s="4">
        <v>270</v>
      </c>
      <c r="D296" s="8">
        <v>5.95</v>
      </c>
      <c r="E296" s="4">
        <v>87</v>
      </c>
      <c r="F296" s="8">
        <v>3.87</v>
      </c>
      <c r="G296" s="4">
        <v>183</v>
      </c>
      <c r="H296" s="8">
        <v>8.15</v>
      </c>
      <c r="I296" s="4">
        <v>0</v>
      </c>
    </row>
    <row r="297" spans="1:9" x14ac:dyDescent="0.2">
      <c r="A297" s="2">
        <v>6</v>
      </c>
      <c r="B297" s="1" t="s">
        <v>98</v>
      </c>
      <c r="C297" s="4">
        <v>235</v>
      </c>
      <c r="D297" s="8">
        <v>5.18</v>
      </c>
      <c r="E297" s="4">
        <v>120</v>
      </c>
      <c r="F297" s="8">
        <v>5.34</v>
      </c>
      <c r="G297" s="4">
        <v>115</v>
      </c>
      <c r="H297" s="8">
        <v>5.12</v>
      </c>
      <c r="I297" s="4">
        <v>0</v>
      </c>
    </row>
    <row r="298" spans="1:9" x14ac:dyDescent="0.2">
      <c r="A298" s="2">
        <v>7</v>
      </c>
      <c r="B298" s="1" t="s">
        <v>114</v>
      </c>
      <c r="C298" s="4">
        <v>210</v>
      </c>
      <c r="D298" s="8">
        <v>4.63</v>
      </c>
      <c r="E298" s="4">
        <v>146</v>
      </c>
      <c r="F298" s="8">
        <v>6.5</v>
      </c>
      <c r="G298" s="4">
        <v>37</v>
      </c>
      <c r="H298" s="8">
        <v>1.65</v>
      </c>
      <c r="I298" s="4">
        <v>0</v>
      </c>
    </row>
    <row r="299" spans="1:9" x14ac:dyDescent="0.2">
      <c r="A299" s="2">
        <v>8</v>
      </c>
      <c r="B299" s="1" t="s">
        <v>104</v>
      </c>
      <c r="C299" s="4">
        <v>168</v>
      </c>
      <c r="D299" s="8">
        <v>3.7</v>
      </c>
      <c r="E299" s="4">
        <v>114</v>
      </c>
      <c r="F299" s="8">
        <v>5.08</v>
      </c>
      <c r="G299" s="4">
        <v>54</v>
      </c>
      <c r="H299" s="8">
        <v>2.4</v>
      </c>
      <c r="I299" s="4">
        <v>0</v>
      </c>
    </row>
    <row r="300" spans="1:9" x14ac:dyDescent="0.2">
      <c r="A300" s="2">
        <v>9</v>
      </c>
      <c r="B300" s="1" t="s">
        <v>105</v>
      </c>
      <c r="C300" s="4">
        <v>166</v>
      </c>
      <c r="D300" s="8">
        <v>3.66</v>
      </c>
      <c r="E300" s="4">
        <v>93</v>
      </c>
      <c r="F300" s="8">
        <v>4.1399999999999997</v>
      </c>
      <c r="G300" s="4">
        <v>73</v>
      </c>
      <c r="H300" s="8">
        <v>3.25</v>
      </c>
      <c r="I300" s="4">
        <v>0</v>
      </c>
    </row>
    <row r="301" spans="1:9" x14ac:dyDescent="0.2">
      <c r="A301" s="2">
        <v>10</v>
      </c>
      <c r="B301" s="1" t="s">
        <v>115</v>
      </c>
      <c r="C301" s="4">
        <v>165</v>
      </c>
      <c r="D301" s="8">
        <v>3.64</v>
      </c>
      <c r="E301" s="4">
        <v>148</v>
      </c>
      <c r="F301" s="8">
        <v>6.59</v>
      </c>
      <c r="G301" s="4">
        <v>17</v>
      </c>
      <c r="H301" s="8">
        <v>0.76</v>
      </c>
      <c r="I301" s="4">
        <v>0</v>
      </c>
    </row>
    <row r="302" spans="1:9" x14ac:dyDescent="0.2">
      <c r="A302" s="2">
        <v>11</v>
      </c>
      <c r="B302" s="1" t="s">
        <v>99</v>
      </c>
      <c r="C302" s="4">
        <v>158</v>
      </c>
      <c r="D302" s="8">
        <v>3.48</v>
      </c>
      <c r="E302" s="4">
        <v>37</v>
      </c>
      <c r="F302" s="8">
        <v>1.65</v>
      </c>
      <c r="G302" s="4">
        <v>121</v>
      </c>
      <c r="H302" s="8">
        <v>5.39</v>
      </c>
      <c r="I302" s="4">
        <v>0</v>
      </c>
    </row>
    <row r="303" spans="1:9" x14ac:dyDescent="0.2">
      <c r="A303" s="2">
        <v>12</v>
      </c>
      <c r="B303" s="1" t="s">
        <v>109</v>
      </c>
      <c r="C303" s="4">
        <v>153</v>
      </c>
      <c r="D303" s="8">
        <v>3.37</v>
      </c>
      <c r="E303" s="4">
        <v>95</v>
      </c>
      <c r="F303" s="8">
        <v>4.2300000000000004</v>
      </c>
      <c r="G303" s="4">
        <v>58</v>
      </c>
      <c r="H303" s="8">
        <v>2.58</v>
      </c>
      <c r="I303" s="4">
        <v>0</v>
      </c>
    </row>
    <row r="304" spans="1:9" x14ac:dyDescent="0.2">
      <c r="A304" s="2">
        <v>13</v>
      </c>
      <c r="B304" s="1" t="s">
        <v>116</v>
      </c>
      <c r="C304" s="4">
        <v>109</v>
      </c>
      <c r="D304" s="8">
        <v>2.4</v>
      </c>
      <c r="E304" s="4">
        <v>75</v>
      </c>
      <c r="F304" s="8">
        <v>3.34</v>
      </c>
      <c r="G304" s="4">
        <v>34</v>
      </c>
      <c r="H304" s="8">
        <v>1.51</v>
      </c>
      <c r="I304" s="4">
        <v>0</v>
      </c>
    </row>
    <row r="305" spans="1:9" x14ac:dyDescent="0.2">
      <c r="A305" s="2">
        <v>14</v>
      </c>
      <c r="B305" s="1" t="s">
        <v>103</v>
      </c>
      <c r="C305" s="4">
        <v>105</v>
      </c>
      <c r="D305" s="8">
        <v>2.31</v>
      </c>
      <c r="E305" s="4">
        <v>43</v>
      </c>
      <c r="F305" s="8">
        <v>1.91</v>
      </c>
      <c r="G305" s="4">
        <v>62</v>
      </c>
      <c r="H305" s="8">
        <v>2.76</v>
      </c>
      <c r="I305" s="4">
        <v>0</v>
      </c>
    </row>
    <row r="306" spans="1:9" x14ac:dyDescent="0.2">
      <c r="A306" s="2">
        <v>15</v>
      </c>
      <c r="B306" s="1" t="s">
        <v>110</v>
      </c>
      <c r="C306" s="4">
        <v>103</v>
      </c>
      <c r="D306" s="8">
        <v>2.27</v>
      </c>
      <c r="E306" s="4">
        <v>47</v>
      </c>
      <c r="F306" s="8">
        <v>2.09</v>
      </c>
      <c r="G306" s="4">
        <v>54</v>
      </c>
      <c r="H306" s="8">
        <v>2.4</v>
      </c>
      <c r="I306" s="4">
        <v>0</v>
      </c>
    </row>
    <row r="307" spans="1:9" x14ac:dyDescent="0.2">
      <c r="A307" s="2">
        <v>16</v>
      </c>
      <c r="B307" s="1" t="s">
        <v>102</v>
      </c>
      <c r="C307" s="4">
        <v>96</v>
      </c>
      <c r="D307" s="8">
        <v>2.12</v>
      </c>
      <c r="E307" s="4">
        <v>10</v>
      </c>
      <c r="F307" s="8">
        <v>0.45</v>
      </c>
      <c r="G307" s="4">
        <v>86</v>
      </c>
      <c r="H307" s="8">
        <v>3.83</v>
      </c>
      <c r="I307" s="4">
        <v>0</v>
      </c>
    </row>
    <row r="308" spans="1:9" x14ac:dyDescent="0.2">
      <c r="A308" s="2">
        <v>17</v>
      </c>
      <c r="B308" s="1" t="s">
        <v>101</v>
      </c>
      <c r="C308" s="4">
        <v>77</v>
      </c>
      <c r="D308" s="8">
        <v>1.7</v>
      </c>
      <c r="E308" s="4">
        <v>10</v>
      </c>
      <c r="F308" s="8">
        <v>0.45</v>
      </c>
      <c r="G308" s="4">
        <v>67</v>
      </c>
      <c r="H308" s="8">
        <v>2.98</v>
      </c>
      <c r="I308" s="4">
        <v>0</v>
      </c>
    </row>
    <row r="309" spans="1:9" x14ac:dyDescent="0.2">
      <c r="A309" s="2">
        <v>18</v>
      </c>
      <c r="B309" s="1" t="s">
        <v>117</v>
      </c>
      <c r="C309" s="4">
        <v>72</v>
      </c>
      <c r="D309" s="8">
        <v>1.59</v>
      </c>
      <c r="E309" s="4">
        <v>12</v>
      </c>
      <c r="F309" s="8">
        <v>0.53</v>
      </c>
      <c r="G309" s="4">
        <v>60</v>
      </c>
      <c r="H309" s="8">
        <v>2.67</v>
      </c>
      <c r="I309" s="4">
        <v>0</v>
      </c>
    </row>
    <row r="310" spans="1:9" x14ac:dyDescent="0.2">
      <c r="A310" s="2">
        <v>19</v>
      </c>
      <c r="B310" s="1" t="s">
        <v>113</v>
      </c>
      <c r="C310" s="4">
        <v>70</v>
      </c>
      <c r="D310" s="8">
        <v>1.54</v>
      </c>
      <c r="E310" s="4">
        <v>31</v>
      </c>
      <c r="F310" s="8">
        <v>1.38</v>
      </c>
      <c r="G310" s="4">
        <v>39</v>
      </c>
      <c r="H310" s="8">
        <v>1.74</v>
      </c>
      <c r="I310" s="4">
        <v>0</v>
      </c>
    </row>
    <row r="311" spans="1:9" x14ac:dyDescent="0.2">
      <c r="A311" s="2">
        <v>20</v>
      </c>
      <c r="B311" s="1" t="s">
        <v>107</v>
      </c>
      <c r="C311" s="4">
        <v>69</v>
      </c>
      <c r="D311" s="8">
        <v>1.52</v>
      </c>
      <c r="E311" s="4">
        <v>5</v>
      </c>
      <c r="F311" s="8">
        <v>0.22</v>
      </c>
      <c r="G311" s="4">
        <v>64</v>
      </c>
      <c r="H311" s="8">
        <v>2.85</v>
      </c>
      <c r="I311" s="4">
        <v>0</v>
      </c>
    </row>
    <row r="312" spans="1:9" x14ac:dyDescent="0.2">
      <c r="A312" s="1"/>
      <c r="C312" s="4"/>
      <c r="D312" s="8"/>
      <c r="E312" s="4"/>
      <c r="F312" s="8"/>
      <c r="G312" s="4"/>
      <c r="H312" s="8"/>
      <c r="I312" s="4"/>
    </row>
    <row r="313" spans="1:9" x14ac:dyDescent="0.2">
      <c r="A313" s="1" t="s">
        <v>14</v>
      </c>
      <c r="C313" s="4"/>
      <c r="D313" s="8"/>
      <c r="E313" s="4"/>
      <c r="F313" s="8"/>
      <c r="G313" s="4"/>
      <c r="H313" s="8"/>
      <c r="I313" s="4"/>
    </row>
    <row r="314" spans="1:9" x14ac:dyDescent="0.2">
      <c r="A314" s="2">
        <v>1</v>
      </c>
      <c r="B314" s="1" t="s">
        <v>108</v>
      </c>
      <c r="C314" s="4">
        <v>1140</v>
      </c>
      <c r="D314" s="8">
        <v>9.61</v>
      </c>
      <c r="E314" s="4">
        <v>280</v>
      </c>
      <c r="F314" s="8">
        <v>6.58</v>
      </c>
      <c r="G314" s="4">
        <v>859</v>
      </c>
      <c r="H314" s="8">
        <v>11.36</v>
      </c>
      <c r="I314" s="4">
        <v>1</v>
      </c>
    </row>
    <row r="315" spans="1:9" x14ac:dyDescent="0.2">
      <c r="A315" s="2">
        <v>2</v>
      </c>
      <c r="B315" s="1" t="s">
        <v>112</v>
      </c>
      <c r="C315" s="4">
        <v>926</v>
      </c>
      <c r="D315" s="8">
        <v>7.81</v>
      </c>
      <c r="E315" s="4">
        <v>748</v>
      </c>
      <c r="F315" s="8">
        <v>17.579999999999998</v>
      </c>
      <c r="G315" s="4">
        <v>178</v>
      </c>
      <c r="H315" s="8">
        <v>2.35</v>
      </c>
      <c r="I315" s="4">
        <v>0</v>
      </c>
    </row>
    <row r="316" spans="1:9" x14ac:dyDescent="0.2">
      <c r="A316" s="2">
        <v>3</v>
      </c>
      <c r="B316" s="1" t="s">
        <v>111</v>
      </c>
      <c r="C316" s="4">
        <v>854</v>
      </c>
      <c r="D316" s="8">
        <v>7.2</v>
      </c>
      <c r="E316" s="4">
        <v>710</v>
      </c>
      <c r="F316" s="8">
        <v>16.68</v>
      </c>
      <c r="G316" s="4">
        <v>144</v>
      </c>
      <c r="H316" s="8">
        <v>1.9</v>
      </c>
      <c r="I316" s="4">
        <v>0</v>
      </c>
    </row>
    <row r="317" spans="1:9" x14ac:dyDescent="0.2">
      <c r="A317" s="2">
        <v>4</v>
      </c>
      <c r="B317" s="1" t="s">
        <v>98</v>
      </c>
      <c r="C317" s="4">
        <v>729</v>
      </c>
      <c r="D317" s="8">
        <v>6.15</v>
      </c>
      <c r="E317" s="4">
        <v>96</v>
      </c>
      <c r="F317" s="8">
        <v>2.2599999999999998</v>
      </c>
      <c r="G317" s="4">
        <v>633</v>
      </c>
      <c r="H317" s="8">
        <v>8.3699999999999992</v>
      </c>
      <c r="I317" s="4">
        <v>0</v>
      </c>
    </row>
    <row r="318" spans="1:9" x14ac:dyDescent="0.2">
      <c r="A318" s="2">
        <v>5</v>
      </c>
      <c r="B318" s="1" t="s">
        <v>97</v>
      </c>
      <c r="C318" s="4">
        <v>591</v>
      </c>
      <c r="D318" s="8">
        <v>4.9800000000000004</v>
      </c>
      <c r="E318" s="4">
        <v>55</v>
      </c>
      <c r="F318" s="8">
        <v>1.29</v>
      </c>
      <c r="G318" s="4">
        <v>536</v>
      </c>
      <c r="H318" s="8">
        <v>7.09</v>
      </c>
      <c r="I318" s="4">
        <v>0</v>
      </c>
    </row>
    <row r="319" spans="1:9" x14ac:dyDescent="0.2">
      <c r="A319" s="2">
        <v>6</v>
      </c>
      <c r="B319" s="1" t="s">
        <v>99</v>
      </c>
      <c r="C319" s="4">
        <v>580</v>
      </c>
      <c r="D319" s="8">
        <v>4.8899999999999997</v>
      </c>
      <c r="E319" s="4">
        <v>71</v>
      </c>
      <c r="F319" s="8">
        <v>1.67</v>
      </c>
      <c r="G319" s="4">
        <v>509</v>
      </c>
      <c r="H319" s="8">
        <v>6.73</v>
      </c>
      <c r="I319" s="4">
        <v>0</v>
      </c>
    </row>
    <row r="320" spans="1:9" x14ac:dyDescent="0.2">
      <c r="A320" s="2">
        <v>7</v>
      </c>
      <c r="B320" s="1" t="s">
        <v>100</v>
      </c>
      <c r="C320" s="4">
        <v>519</v>
      </c>
      <c r="D320" s="8">
        <v>4.38</v>
      </c>
      <c r="E320" s="4">
        <v>118</v>
      </c>
      <c r="F320" s="8">
        <v>2.77</v>
      </c>
      <c r="G320" s="4">
        <v>401</v>
      </c>
      <c r="H320" s="8">
        <v>5.3</v>
      </c>
      <c r="I320" s="4">
        <v>0</v>
      </c>
    </row>
    <row r="321" spans="1:9" x14ac:dyDescent="0.2">
      <c r="A321" s="2">
        <v>8</v>
      </c>
      <c r="B321" s="1" t="s">
        <v>106</v>
      </c>
      <c r="C321" s="4">
        <v>512</v>
      </c>
      <c r="D321" s="8">
        <v>4.32</v>
      </c>
      <c r="E321" s="4">
        <v>247</v>
      </c>
      <c r="F321" s="8">
        <v>5.8</v>
      </c>
      <c r="G321" s="4">
        <v>265</v>
      </c>
      <c r="H321" s="8">
        <v>3.5</v>
      </c>
      <c r="I321" s="4">
        <v>0</v>
      </c>
    </row>
    <row r="322" spans="1:9" x14ac:dyDescent="0.2">
      <c r="A322" s="2">
        <v>9</v>
      </c>
      <c r="B322" s="1" t="s">
        <v>120</v>
      </c>
      <c r="C322" s="4">
        <v>468</v>
      </c>
      <c r="D322" s="8">
        <v>3.95</v>
      </c>
      <c r="E322" s="4">
        <v>70</v>
      </c>
      <c r="F322" s="8">
        <v>1.64</v>
      </c>
      <c r="G322" s="4">
        <v>398</v>
      </c>
      <c r="H322" s="8">
        <v>5.26</v>
      </c>
      <c r="I322" s="4">
        <v>0</v>
      </c>
    </row>
    <row r="323" spans="1:9" x14ac:dyDescent="0.2">
      <c r="A323" s="2">
        <v>10</v>
      </c>
      <c r="B323" s="1" t="s">
        <v>115</v>
      </c>
      <c r="C323" s="4">
        <v>383</v>
      </c>
      <c r="D323" s="8">
        <v>3.23</v>
      </c>
      <c r="E323" s="4">
        <v>331</v>
      </c>
      <c r="F323" s="8">
        <v>7.78</v>
      </c>
      <c r="G323" s="4">
        <v>52</v>
      </c>
      <c r="H323" s="8">
        <v>0.69</v>
      </c>
      <c r="I323" s="4">
        <v>0</v>
      </c>
    </row>
    <row r="324" spans="1:9" x14ac:dyDescent="0.2">
      <c r="A324" s="2">
        <v>11</v>
      </c>
      <c r="B324" s="1" t="s">
        <v>114</v>
      </c>
      <c r="C324" s="4">
        <v>355</v>
      </c>
      <c r="D324" s="8">
        <v>2.99</v>
      </c>
      <c r="E324" s="4">
        <v>221</v>
      </c>
      <c r="F324" s="8">
        <v>5.19</v>
      </c>
      <c r="G324" s="4">
        <v>98</v>
      </c>
      <c r="H324" s="8">
        <v>1.3</v>
      </c>
      <c r="I324" s="4">
        <v>1</v>
      </c>
    </row>
    <row r="325" spans="1:9" x14ac:dyDescent="0.2">
      <c r="A325" s="2">
        <v>12</v>
      </c>
      <c r="B325" s="1" t="s">
        <v>104</v>
      </c>
      <c r="C325" s="4">
        <v>343</v>
      </c>
      <c r="D325" s="8">
        <v>2.89</v>
      </c>
      <c r="E325" s="4">
        <v>233</v>
      </c>
      <c r="F325" s="8">
        <v>5.47</v>
      </c>
      <c r="G325" s="4">
        <v>110</v>
      </c>
      <c r="H325" s="8">
        <v>1.45</v>
      </c>
      <c r="I325" s="4">
        <v>0</v>
      </c>
    </row>
    <row r="326" spans="1:9" x14ac:dyDescent="0.2">
      <c r="A326" s="2">
        <v>13</v>
      </c>
      <c r="B326" s="1" t="s">
        <v>109</v>
      </c>
      <c r="C326" s="4">
        <v>271</v>
      </c>
      <c r="D326" s="8">
        <v>2.2799999999999998</v>
      </c>
      <c r="E326" s="4">
        <v>142</v>
      </c>
      <c r="F326" s="8">
        <v>3.34</v>
      </c>
      <c r="G326" s="4">
        <v>129</v>
      </c>
      <c r="H326" s="8">
        <v>1.71</v>
      </c>
      <c r="I326" s="4">
        <v>0</v>
      </c>
    </row>
    <row r="327" spans="1:9" x14ac:dyDescent="0.2">
      <c r="A327" s="2">
        <v>14</v>
      </c>
      <c r="B327" s="1" t="s">
        <v>105</v>
      </c>
      <c r="C327" s="4">
        <v>226</v>
      </c>
      <c r="D327" s="8">
        <v>1.91</v>
      </c>
      <c r="E327" s="4">
        <v>81</v>
      </c>
      <c r="F327" s="8">
        <v>1.9</v>
      </c>
      <c r="G327" s="4">
        <v>145</v>
      </c>
      <c r="H327" s="8">
        <v>1.92</v>
      </c>
      <c r="I327" s="4">
        <v>0</v>
      </c>
    </row>
    <row r="328" spans="1:9" x14ac:dyDescent="0.2">
      <c r="A328" s="2">
        <v>15</v>
      </c>
      <c r="B328" s="1" t="s">
        <v>125</v>
      </c>
      <c r="C328" s="4">
        <v>222</v>
      </c>
      <c r="D328" s="8">
        <v>1.87</v>
      </c>
      <c r="E328" s="4">
        <v>76</v>
      </c>
      <c r="F328" s="8">
        <v>1.79</v>
      </c>
      <c r="G328" s="4">
        <v>145</v>
      </c>
      <c r="H328" s="8">
        <v>1.92</v>
      </c>
      <c r="I328" s="4">
        <v>1</v>
      </c>
    </row>
    <row r="329" spans="1:9" x14ac:dyDescent="0.2">
      <c r="A329" s="2">
        <v>16</v>
      </c>
      <c r="B329" s="1" t="s">
        <v>126</v>
      </c>
      <c r="C329" s="4">
        <v>213</v>
      </c>
      <c r="D329" s="8">
        <v>1.8</v>
      </c>
      <c r="E329" s="4">
        <v>73</v>
      </c>
      <c r="F329" s="8">
        <v>1.72</v>
      </c>
      <c r="G329" s="4">
        <v>140</v>
      </c>
      <c r="H329" s="8">
        <v>1.85</v>
      </c>
      <c r="I329" s="4">
        <v>0</v>
      </c>
    </row>
    <row r="330" spans="1:9" x14ac:dyDescent="0.2">
      <c r="A330" s="2">
        <v>17</v>
      </c>
      <c r="B330" s="1" t="s">
        <v>102</v>
      </c>
      <c r="C330" s="4">
        <v>210</v>
      </c>
      <c r="D330" s="8">
        <v>1.77</v>
      </c>
      <c r="E330" s="4">
        <v>20</v>
      </c>
      <c r="F330" s="8">
        <v>0.47</v>
      </c>
      <c r="G330" s="4">
        <v>190</v>
      </c>
      <c r="H330" s="8">
        <v>2.5099999999999998</v>
      </c>
      <c r="I330" s="4">
        <v>0</v>
      </c>
    </row>
    <row r="331" spans="1:9" x14ac:dyDescent="0.2">
      <c r="A331" s="2">
        <v>18</v>
      </c>
      <c r="B331" s="1" t="s">
        <v>107</v>
      </c>
      <c r="C331" s="4">
        <v>201</v>
      </c>
      <c r="D331" s="8">
        <v>1.69</v>
      </c>
      <c r="E331" s="4">
        <v>29</v>
      </c>
      <c r="F331" s="8">
        <v>0.68</v>
      </c>
      <c r="G331" s="4">
        <v>172</v>
      </c>
      <c r="H331" s="8">
        <v>2.27</v>
      </c>
      <c r="I331" s="4">
        <v>0</v>
      </c>
    </row>
    <row r="332" spans="1:9" x14ac:dyDescent="0.2">
      <c r="A332" s="2">
        <v>19</v>
      </c>
      <c r="B332" s="1" t="s">
        <v>101</v>
      </c>
      <c r="C332" s="4">
        <v>191</v>
      </c>
      <c r="D332" s="8">
        <v>1.61</v>
      </c>
      <c r="E332" s="4">
        <v>21</v>
      </c>
      <c r="F332" s="8">
        <v>0.49</v>
      </c>
      <c r="G332" s="4">
        <v>170</v>
      </c>
      <c r="H332" s="8">
        <v>2.25</v>
      </c>
      <c r="I332" s="4">
        <v>0</v>
      </c>
    </row>
    <row r="333" spans="1:9" x14ac:dyDescent="0.2">
      <c r="A333" s="2">
        <v>20</v>
      </c>
      <c r="B333" s="1" t="s">
        <v>117</v>
      </c>
      <c r="C333" s="4">
        <v>177</v>
      </c>
      <c r="D333" s="8">
        <v>1.49</v>
      </c>
      <c r="E333" s="4">
        <v>25</v>
      </c>
      <c r="F333" s="8">
        <v>0.59</v>
      </c>
      <c r="G333" s="4">
        <v>152</v>
      </c>
      <c r="H333" s="8">
        <v>2.0099999999999998</v>
      </c>
      <c r="I333" s="4">
        <v>0</v>
      </c>
    </row>
    <row r="334" spans="1:9" x14ac:dyDescent="0.2">
      <c r="A334" s="2">
        <v>20</v>
      </c>
      <c r="B334" s="1" t="s">
        <v>110</v>
      </c>
      <c r="C334" s="4">
        <v>177</v>
      </c>
      <c r="D334" s="8">
        <v>1.49</v>
      </c>
      <c r="E334" s="4">
        <v>45</v>
      </c>
      <c r="F334" s="8">
        <v>1.06</v>
      </c>
      <c r="G334" s="4">
        <v>132</v>
      </c>
      <c r="H334" s="8">
        <v>1.75</v>
      </c>
      <c r="I334" s="4">
        <v>0</v>
      </c>
    </row>
    <row r="335" spans="1:9" x14ac:dyDescent="0.2">
      <c r="A335" s="1"/>
      <c r="C335" s="4"/>
      <c r="D335" s="8"/>
      <c r="E335" s="4"/>
      <c r="F335" s="8"/>
      <c r="G335" s="4"/>
      <c r="H335" s="8"/>
      <c r="I335" s="4"/>
    </row>
    <row r="336" spans="1:9" x14ac:dyDescent="0.2">
      <c r="A336" s="1" t="s">
        <v>15</v>
      </c>
      <c r="C336" s="4"/>
      <c r="D336" s="8"/>
      <c r="E336" s="4"/>
      <c r="F336" s="8"/>
      <c r="G336" s="4"/>
      <c r="H336" s="8"/>
      <c r="I336" s="4"/>
    </row>
    <row r="337" spans="1:9" x14ac:dyDescent="0.2">
      <c r="A337" s="2">
        <v>1</v>
      </c>
      <c r="B337" s="1" t="s">
        <v>112</v>
      </c>
      <c r="C337" s="4">
        <v>204</v>
      </c>
      <c r="D337" s="8">
        <v>11.32</v>
      </c>
      <c r="E337" s="4">
        <v>177</v>
      </c>
      <c r="F337" s="8">
        <v>17.97</v>
      </c>
      <c r="G337" s="4">
        <v>27</v>
      </c>
      <c r="H337" s="8">
        <v>3.4</v>
      </c>
      <c r="I337" s="4">
        <v>0</v>
      </c>
    </row>
    <row r="338" spans="1:9" x14ac:dyDescent="0.2">
      <c r="A338" s="2">
        <v>2</v>
      </c>
      <c r="B338" s="1" t="s">
        <v>111</v>
      </c>
      <c r="C338" s="4">
        <v>165</v>
      </c>
      <c r="D338" s="8">
        <v>9.16</v>
      </c>
      <c r="E338" s="4">
        <v>142</v>
      </c>
      <c r="F338" s="8">
        <v>14.42</v>
      </c>
      <c r="G338" s="4">
        <v>23</v>
      </c>
      <c r="H338" s="8">
        <v>2.89</v>
      </c>
      <c r="I338" s="4">
        <v>0</v>
      </c>
    </row>
    <row r="339" spans="1:9" x14ac:dyDescent="0.2">
      <c r="A339" s="2">
        <v>3</v>
      </c>
      <c r="B339" s="1" t="s">
        <v>98</v>
      </c>
      <c r="C339" s="4">
        <v>111</v>
      </c>
      <c r="D339" s="8">
        <v>6.16</v>
      </c>
      <c r="E339" s="4">
        <v>59</v>
      </c>
      <c r="F339" s="8">
        <v>5.99</v>
      </c>
      <c r="G339" s="4">
        <v>52</v>
      </c>
      <c r="H339" s="8">
        <v>6.54</v>
      </c>
      <c r="I339" s="4">
        <v>0</v>
      </c>
    </row>
    <row r="340" spans="1:9" x14ac:dyDescent="0.2">
      <c r="A340" s="2">
        <v>4</v>
      </c>
      <c r="B340" s="1" t="s">
        <v>106</v>
      </c>
      <c r="C340" s="4">
        <v>103</v>
      </c>
      <c r="D340" s="8">
        <v>5.72</v>
      </c>
      <c r="E340" s="4">
        <v>47</v>
      </c>
      <c r="F340" s="8">
        <v>4.7699999999999996</v>
      </c>
      <c r="G340" s="4">
        <v>56</v>
      </c>
      <c r="H340" s="8">
        <v>7.04</v>
      </c>
      <c r="I340" s="4">
        <v>0</v>
      </c>
    </row>
    <row r="341" spans="1:9" x14ac:dyDescent="0.2">
      <c r="A341" s="2">
        <v>5</v>
      </c>
      <c r="B341" s="1" t="s">
        <v>97</v>
      </c>
      <c r="C341" s="4">
        <v>87</v>
      </c>
      <c r="D341" s="8">
        <v>4.83</v>
      </c>
      <c r="E341" s="4">
        <v>39</v>
      </c>
      <c r="F341" s="8">
        <v>3.96</v>
      </c>
      <c r="G341" s="4">
        <v>48</v>
      </c>
      <c r="H341" s="8">
        <v>6.04</v>
      </c>
      <c r="I341" s="4">
        <v>0</v>
      </c>
    </row>
    <row r="342" spans="1:9" x14ac:dyDescent="0.2">
      <c r="A342" s="2">
        <v>6</v>
      </c>
      <c r="B342" s="1" t="s">
        <v>108</v>
      </c>
      <c r="C342" s="4">
        <v>85</v>
      </c>
      <c r="D342" s="8">
        <v>4.72</v>
      </c>
      <c r="E342" s="4">
        <v>27</v>
      </c>
      <c r="F342" s="8">
        <v>2.74</v>
      </c>
      <c r="G342" s="4">
        <v>58</v>
      </c>
      <c r="H342" s="8">
        <v>7.3</v>
      </c>
      <c r="I342" s="4">
        <v>0</v>
      </c>
    </row>
    <row r="343" spans="1:9" x14ac:dyDescent="0.2">
      <c r="A343" s="2">
        <v>7</v>
      </c>
      <c r="B343" s="1" t="s">
        <v>104</v>
      </c>
      <c r="C343" s="4">
        <v>78</v>
      </c>
      <c r="D343" s="8">
        <v>4.33</v>
      </c>
      <c r="E343" s="4">
        <v>55</v>
      </c>
      <c r="F343" s="8">
        <v>5.58</v>
      </c>
      <c r="G343" s="4">
        <v>23</v>
      </c>
      <c r="H343" s="8">
        <v>2.89</v>
      </c>
      <c r="I343" s="4">
        <v>0</v>
      </c>
    </row>
    <row r="344" spans="1:9" x14ac:dyDescent="0.2">
      <c r="A344" s="2">
        <v>8</v>
      </c>
      <c r="B344" s="1" t="s">
        <v>105</v>
      </c>
      <c r="C344" s="4">
        <v>72</v>
      </c>
      <c r="D344" s="8">
        <v>4</v>
      </c>
      <c r="E344" s="4">
        <v>43</v>
      </c>
      <c r="F344" s="8">
        <v>4.37</v>
      </c>
      <c r="G344" s="4">
        <v>29</v>
      </c>
      <c r="H344" s="8">
        <v>3.65</v>
      </c>
      <c r="I344" s="4">
        <v>0</v>
      </c>
    </row>
    <row r="345" spans="1:9" x14ac:dyDescent="0.2">
      <c r="A345" s="2">
        <v>9</v>
      </c>
      <c r="B345" s="1" t="s">
        <v>114</v>
      </c>
      <c r="C345" s="4">
        <v>69</v>
      </c>
      <c r="D345" s="8">
        <v>3.83</v>
      </c>
      <c r="E345" s="4">
        <v>48</v>
      </c>
      <c r="F345" s="8">
        <v>4.87</v>
      </c>
      <c r="G345" s="4">
        <v>9</v>
      </c>
      <c r="H345" s="8">
        <v>1.1299999999999999</v>
      </c>
      <c r="I345" s="4">
        <v>0</v>
      </c>
    </row>
    <row r="346" spans="1:9" x14ac:dyDescent="0.2">
      <c r="A346" s="2">
        <v>10</v>
      </c>
      <c r="B346" s="1" t="s">
        <v>99</v>
      </c>
      <c r="C346" s="4">
        <v>64</v>
      </c>
      <c r="D346" s="8">
        <v>3.55</v>
      </c>
      <c r="E346" s="4">
        <v>22</v>
      </c>
      <c r="F346" s="8">
        <v>2.23</v>
      </c>
      <c r="G346" s="4">
        <v>42</v>
      </c>
      <c r="H346" s="8">
        <v>5.28</v>
      </c>
      <c r="I346" s="4">
        <v>0</v>
      </c>
    </row>
    <row r="347" spans="1:9" x14ac:dyDescent="0.2">
      <c r="A347" s="2">
        <v>11</v>
      </c>
      <c r="B347" s="1" t="s">
        <v>127</v>
      </c>
      <c r="C347" s="4">
        <v>60</v>
      </c>
      <c r="D347" s="8">
        <v>3.33</v>
      </c>
      <c r="E347" s="4">
        <v>40</v>
      </c>
      <c r="F347" s="8">
        <v>4.0599999999999996</v>
      </c>
      <c r="G347" s="4">
        <v>20</v>
      </c>
      <c r="H347" s="8">
        <v>2.52</v>
      </c>
      <c r="I347" s="4">
        <v>0</v>
      </c>
    </row>
    <row r="348" spans="1:9" x14ac:dyDescent="0.2">
      <c r="A348" s="2">
        <v>12</v>
      </c>
      <c r="B348" s="1" t="s">
        <v>115</v>
      </c>
      <c r="C348" s="4">
        <v>55</v>
      </c>
      <c r="D348" s="8">
        <v>3.05</v>
      </c>
      <c r="E348" s="4">
        <v>50</v>
      </c>
      <c r="F348" s="8">
        <v>5.08</v>
      </c>
      <c r="G348" s="4">
        <v>5</v>
      </c>
      <c r="H348" s="8">
        <v>0.63</v>
      </c>
      <c r="I348" s="4">
        <v>0</v>
      </c>
    </row>
    <row r="349" spans="1:9" x14ac:dyDescent="0.2">
      <c r="A349" s="2">
        <v>13</v>
      </c>
      <c r="B349" s="1" t="s">
        <v>116</v>
      </c>
      <c r="C349" s="4">
        <v>46</v>
      </c>
      <c r="D349" s="8">
        <v>2.5499999999999998</v>
      </c>
      <c r="E349" s="4">
        <v>36</v>
      </c>
      <c r="F349" s="8">
        <v>3.65</v>
      </c>
      <c r="G349" s="4">
        <v>10</v>
      </c>
      <c r="H349" s="8">
        <v>1.26</v>
      </c>
      <c r="I349" s="4">
        <v>0</v>
      </c>
    </row>
    <row r="350" spans="1:9" x14ac:dyDescent="0.2">
      <c r="A350" s="2">
        <v>14</v>
      </c>
      <c r="B350" s="1" t="s">
        <v>110</v>
      </c>
      <c r="C350" s="4">
        <v>37</v>
      </c>
      <c r="D350" s="8">
        <v>2.0499999999999998</v>
      </c>
      <c r="E350" s="4">
        <v>15</v>
      </c>
      <c r="F350" s="8">
        <v>1.52</v>
      </c>
      <c r="G350" s="4">
        <v>22</v>
      </c>
      <c r="H350" s="8">
        <v>2.77</v>
      </c>
      <c r="I350" s="4">
        <v>0</v>
      </c>
    </row>
    <row r="351" spans="1:9" x14ac:dyDescent="0.2">
      <c r="A351" s="2">
        <v>15</v>
      </c>
      <c r="B351" s="1" t="s">
        <v>101</v>
      </c>
      <c r="C351" s="4">
        <v>35</v>
      </c>
      <c r="D351" s="8">
        <v>1.94</v>
      </c>
      <c r="E351" s="4">
        <v>11</v>
      </c>
      <c r="F351" s="8">
        <v>1.1200000000000001</v>
      </c>
      <c r="G351" s="4">
        <v>24</v>
      </c>
      <c r="H351" s="8">
        <v>3.02</v>
      </c>
      <c r="I351" s="4">
        <v>0</v>
      </c>
    </row>
    <row r="352" spans="1:9" x14ac:dyDescent="0.2">
      <c r="A352" s="2">
        <v>16</v>
      </c>
      <c r="B352" s="1" t="s">
        <v>103</v>
      </c>
      <c r="C352" s="4">
        <v>33</v>
      </c>
      <c r="D352" s="8">
        <v>1.83</v>
      </c>
      <c r="E352" s="4">
        <v>18</v>
      </c>
      <c r="F352" s="8">
        <v>1.83</v>
      </c>
      <c r="G352" s="4">
        <v>15</v>
      </c>
      <c r="H352" s="8">
        <v>1.89</v>
      </c>
      <c r="I352" s="4">
        <v>0</v>
      </c>
    </row>
    <row r="353" spans="1:9" x14ac:dyDescent="0.2">
      <c r="A353" s="2">
        <v>16</v>
      </c>
      <c r="B353" s="1" t="s">
        <v>109</v>
      </c>
      <c r="C353" s="4">
        <v>33</v>
      </c>
      <c r="D353" s="8">
        <v>1.83</v>
      </c>
      <c r="E353" s="4">
        <v>26</v>
      </c>
      <c r="F353" s="8">
        <v>2.64</v>
      </c>
      <c r="G353" s="4">
        <v>7</v>
      </c>
      <c r="H353" s="8">
        <v>0.88</v>
      </c>
      <c r="I353" s="4">
        <v>0</v>
      </c>
    </row>
    <row r="354" spans="1:9" x14ac:dyDescent="0.2">
      <c r="A354" s="2">
        <v>18</v>
      </c>
      <c r="B354" s="1" t="s">
        <v>118</v>
      </c>
      <c r="C354" s="4">
        <v>32</v>
      </c>
      <c r="D354" s="8">
        <v>1.78</v>
      </c>
      <c r="E354" s="4">
        <v>2</v>
      </c>
      <c r="F354" s="8">
        <v>0.2</v>
      </c>
      <c r="G354" s="4">
        <v>28</v>
      </c>
      <c r="H354" s="8">
        <v>3.52</v>
      </c>
      <c r="I354" s="4">
        <v>0</v>
      </c>
    </row>
    <row r="355" spans="1:9" x14ac:dyDescent="0.2">
      <c r="A355" s="2">
        <v>19</v>
      </c>
      <c r="B355" s="1" t="s">
        <v>113</v>
      </c>
      <c r="C355" s="4">
        <v>25</v>
      </c>
      <c r="D355" s="8">
        <v>1.39</v>
      </c>
      <c r="E355" s="4">
        <v>13</v>
      </c>
      <c r="F355" s="8">
        <v>1.32</v>
      </c>
      <c r="G355" s="4">
        <v>12</v>
      </c>
      <c r="H355" s="8">
        <v>1.51</v>
      </c>
      <c r="I355" s="4">
        <v>0</v>
      </c>
    </row>
    <row r="356" spans="1:9" x14ac:dyDescent="0.2">
      <c r="A356" s="2">
        <v>20</v>
      </c>
      <c r="B356" s="1" t="s">
        <v>128</v>
      </c>
      <c r="C356" s="4">
        <v>24</v>
      </c>
      <c r="D356" s="8">
        <v>1.33</v>
      </c>
      <c r="E356" s="4">
        <v>11</v>
      </c>
      <c r="F356" s="8">
        <v>1.1200000000000001</v>
      </c>
      <c r="G356" s="4">
        <v>13</v>
      </c>
      <c r="H356" s="8">
        <v>1.64</v>
      </c>
      <c r="I356" s="4">
        <v>0</v>
      </c>
    </row>
    <row r="357" spans="1:9" x14ac:dyDescent="0.2">
      <c r="A357" s="2">
        <v>20</v>
      </c>
      <c r="B357" s="1" t="s">
        <v>102</v>
      </c>
      <c r="C357" s="4">
        <v>24</v>
      </c>
      <c r="D357" s="8">
        <v>1.33</v>
      </c>
      <c r="E357" s="4">
        <v>4</v>
      </c>
      <c r="F357" s="8">
        <v>0.41</v>
      </c>
      <c r="G357" s="4">
        <v>20</v>
      </c>
      <c r="H357" s="8">
        <v>2.52</v>
      </c>
      <c r="I357" s="4">
        <v>0</v>
      </c>
    </row>
    <row r="358" spans="1:9" x14ac:dyDescent="0.2">
      <c r="A358" s="2">
        <v>20</v>
      </c>
      <c r="B358" s="1" t="s">
        <v>117</v>
      </c>
      <c r="C358" s="4">
        <v>24</v>
      </c>
      <c r="D358" s="8">
        <v>1.33</v>
      </c>
      <c r="E358" s="4">
        <v>5</v>
      </c>
      <c r="F358" s="8">
        <v>0.51</v>
      </c>
      <c r="G358" s="4">
        <v>19</v>
      </c>
      <c r="H358" s="8">
        <v>2.39</v>
      </c>
      <c r="I358" s="4">
        <v>0</v>
      </c>
    </row>
    <row r="359" spans="1:9" x14ac:dyDescent="0.2">
      <c r="A359" s="2">
        <v>20</v>
      </c>
      <c r="B359" s="1" t="s">
        <v>107</v>
      </c>
      <c r="C359" s="4">
        <v>24</v>
      </c>
      <c r="D359" s="8">
        <v>1.33</v>
      </c>
      <c r="E359" s="4">
        <v>2</v>
      </c>
      <c r="F359" s="8">
        <v>0.2</v>
      </c>
      <c r="G359" s="4">
        <v>22</v>
      </c>
      <c r="H359" s="8">
        <v>2.77</v>
      </c>
      <c r="I359" s="4">
        <v>0</v>
      </c>
    </row>
    <row r="360" spans="1:9" x14ac:dyDescent="0.2">
      <c r="A360" s="1"/>
      <c r="C360" s="4"/>
      <c r="D360" s="8"/>
      <c r="E360" s="4"/>
      <c r="F360" s="8"/>
      <c r="G360" s="4"/>
      <c r="H360" s="8"/>
      <c r="I360" s="4"/>
    </row>
    <row r="361" spans="1:9" x14ac:dyDescent="0.2">
      <c r="A361" s="1" t="s">
        <v>16</v>
      </c>
      <c r="C361" s="4"/>
      <c r="D361" s="8"/>
      <c r="E361" s="4"/>
      <c r="F361" s="8"/>
      <c r="G361" s="4"/>
      <c r="H361" s="8"/>
      <c r="I361" s="4"/>
    </row>
    <row r="362" spans="1:9" x14ac:dyDescent="0.2">
      <c r="A362" s="2">
        <v>1</v>
      </c>
      <c r="B362" s="1" t="s">
        <v>111</v>
      </c>
      <c r="C362" s="4">
        <v>283</v>
      </c>
      <c r="D362" s="8">
        <v>14.17</v>
      </c>
      <c r="E362" s="4">
        <v>243</v>
      </c>
      <c r="F362" s="8">
        <v>20.25</v>
      </c>
      <c r="G362" s="4">
        <v>39</v>
      </c>
      <c r="H362" s="8">
        <v>5.08</v>
      </c>
      <c r="I362" s="4">
        <v>1</v>
      </c>
    </row>
    <row r="363" spans="1:9" x14ac:dyDescent="0.2">
      <c r="A363" s="2">
        <v>2</v>
      </c>
      <c r="B363" s="1" t="s">
        <v>112</v>
      </c>
      <c r="C363" s="4">
        <v>224</v>
      </c>
      <c r="D363" s="8">
        <v>11.22</v>
      </c>
      <c r="E363" s="4">
        <v>207</v>
      </c>
      <c r="F363" s="8">
        <v>17.25</v>
      </c>
      <c r="G363" s="4">
        <v>17</v>
      </c>
      <c r="H363" s="8">
        <v>2.21</v>
      </c>
      <c r="I363" s="4">
        <v>0</v>
      </c>
    </row>
    <row r="364" spans="1:9" x14ac:dyDescent="0.2">
      <c r="A364" s="2">
        <v>3</v>
      </c>
      <c r="B364" s="1" t="s">
        <v>97</v>
      </c>
      <c r="C364" s="4">
        <v>146</v>
      </c>
      <c r="D364" s="8">
        <v>7.31</v>
      </c>
      <c r="E364" s="4">
        <v>67</v>
      </c>
      <c r="F364" s="8">
        <v>5.58</v>
      </c>
      <c r="G364" s="4">
        <v>79</v>
      </c>
      <c r="H364" s="8">
        <v>10.29</v>
      </c>
      <c r="I364" s="4">
        <v>0</v>
      </c>
    </row>
    <row r="365" spans="1:9" x14ac:dyDescent="0.2">
      <c r="A365" s="2">
        <v>4</v>
      </c>
      <c r="B365" s="1" t="s">
        <v>106</v>
      </c>
      <c r="C365" s="4">
        <v>120</v>
      </c>
      <c r="D365" s="8">
        <v>6.01</v>
      </c>
      <c r="E365" s="4">
        <v>59</v>
      </c>
      <c r="F365" s="8">
        <v>4.92</v>
      </c>
      <c r="G365" s="4">
        <v>61</v>
      </c>
      <c r="H365" s="8">
        <v>7.94</v>
      </c>
      <c r="I365" s="4">
        <v>0</v>
      </c>
    </row>
    <row r="366" spans="1:9" x14ac:dyDescent="0.2">
      <c r="A366" s="2">
        <v>5</v>
      </c>
      <c r="B366" s="1" t="s">
        <v>108</v>
      </c>
      <c r="C366" s="4">
        <v>114</v>
      </c>
      <c r="D366" s="8">
        <v>5.71</v>
      </c>
      <c r="E366" s="4">
        <v>62</v>
      </c>
      <c r="F366" s="8">
        <v>5.17</v>
      </c>
      <c r="G366" s="4">
        <v>51</v>
      </c>
      <c r="H366" s="8">
        <v>6.64</v>
      </c>
      <c r="I366" s="4">
        <v>1</v>
      </c>
    </row>
    <row r="367" spans="1:9" x14ac:dyDescent="0.2">
      <c r="A367" s="2">
        <v>6</v>
      </c>
      <c r="B367" s="1" t="s">
        <v>104</v>
      </c>
      <c r="C367" s="4">
        <v>109</v>
      </c>
      <c r="D367" s="8">
        <v>5.46</v>
      </c>
      <c r="E367" s="4">
        <v>77</v>
      </c>
      <c r="F367" s="8">
        <v>6.42</v>
      </c>
      <c r="G367" s="4">
        <v>32</v>
      </c>
      <c r="H367" s="8">
        <v>4.17</v>
      </c>
      <c r="I367" s="4">
        <v>0</v>
      </c>
    </row>
    <row r="368" spans="1:9" x14ac:dyDescent="0.2">
      <c r="A368" s="2">
        <v>7</v>
      </c>
      <c r="B368" s="1" t="s">
        <v>98</v>
      </c>
      <c r="C368" s="4">
        <v>105</v>
      </c>
      <c r="D368" s="8">
        <v>5.26</v>
      </c>
      <c r="E368" s="4">
        <v>64</v>
      </c>
      <c r="F368" s="8">
        <v>5.33</v>
      </c>
      <c r="G368" s="4">
        <v>41</v>
      </c>
      <c r="H368" s="8">
        <v>5.34</v>
      </c>
      <c r="I368" s="4">
        <v>0</v>
      </c>
    </row>
    <row r="369" spans="1:9" x14ac:dyDescent="0.2">
      <c r="A369" s="2">
        <v>8</v>
      </c>
      <c r="B369" s="1" t="s">
        <v>114</v>
      </c>
      <c r="C369" s="4">
        <v>68</v>
      </c>
      <c r="D369" s="8">
        <v>3.41</v>
      </c>
      <c r="E369" s="4">
        <v>43</v>
      </c>
      <c r="F369" s="8">
        <v>3.58</v>
      </c>
      <c r="G369" s="4">
        <v>12</v>
      </c>
      <c r="H369" s="8">
        <v>1.56</v>
      </c>
      <c r="I369" s="4">
        <v>1</v>
      </c>
    </row>
    <row r="370" spans="1:9" x14ac:dyDescent="0.2">
      <c r="A370" s="2">
        <v>9</v>
      </c>
      <c r="B370" s="1" t="s">
        <v>105</v>
      </c>
      <c r="C370" s="4">
        <v>66</v>
      </c>
      <c r="D370" s="8">
        <v>3.3</v>
      </c>
      <c r="E370" s="4">
        <v>41</v>
      </c>
      <c r="F370" s="8">
        <v>3.42</v>
      </c>
      <c r="G370" s="4">
        <v>25</v>
      </c>
      <c r="H370" s="8">
        <v>3.26</v>
      </c>
      <c r="I370" s="4">
        <v>0</v>
      </c>
    </row>
    <row r="371" spans="1:9" x14ac:dyDescent="0.2">
      <c r="A371" s="2">
        <v>10</v>
      </c>
      <c r="B371" s="1" t="s">
        <v>115</v>
      </c>
      <c r="C371" s="4">
        <v>65</v>
      </c>
      <c r="D371" s="8">
        <v>3.25</v>
      </c>
      <c r="E371" s="4">
        <v>58</v>
      </c>
      <c r="F371" s="8">
        <v>4.83</v>
      </c>
      <c r="G371" s="4">
        <v>7</v>
      </c>
      <c r="H371" s="8">
        <v>0.91</v>
      </c>
      <c r="I371" s="4">
        <v>0</v>
      </c>
    </row>
    <row r="372" spans="1:9" x14ac:dyDescent="0.2">
      <c r="A372" s="2">
        <v>11</v>
      </c>
      <c r="B372" s="1" t="s">
        <v>109</v>
      </c>
      <c r="C372" s="4">
        <v>49</v>
      </c>
      <c r="D372" s="8">
        <v>2.4500000000000002</v>
      </c>
      <c r="E372" s="4">
        <v>37</v>
      </c>
      <c r="F372" s="8">
        <v>3.08</v>
      </c>
      <c r="G372" s="4">
        <v>11</v>
      </c>
      <c r="H372" s="8">
        <v>1.43</v>
      </c>
      <c r="I372" s="4">
        <v>1</v>
      </c>
    </row>
    <row r="373" spans="1:9" x14ac:dyDescent="0.2">
      <c r="A373" s="2">
        <v>12</v>
      </c>
      <c r="B373" s="1" t="s">
        <v>99</v>
      </c>
      <c r="C373" s="4">
        <v>45</v>
      </c>
      <c r="D373" s="8">
        <v>2.25</v>
      </c>
      <c r="E373" s="4">
        <v>21</v>
      </c>
      <c r="F373" s="8">
        <v>1.75</v>
      </c>
      <c r="G373" s="4">
        <v>24</v>
      </c>
      <c r="H373" s="8">
        <v>3.13</v>
      </c>
      <c r="I373" s="4">
        <v>0</v>
      </c>
    </row>
    <row r="374" spans="1:9" x14ac:dyDescent="0.2">
      <c r="A374" s="2">
        <v>13</v>
      </c>
      <c r="B374" s="1" t="s">
        <v>103</v>
      </c>
      <c r="C374" s="4">
        <v>42</v>
      </c>
      <c r="D374" s="8">
        <v>2.1</v>
      </c>
      <c r="E374" s="4">
        <v>23</v>
      </c>
      <c r="F374" s="8">
        <v>1.92</v>
      </c>
      <c r="G374" s="4">
        <v>19</v>
      </c>
      <c r="H374" s="8">
        <v>2.4700000000000002</v>
      </c>
      <c r="I374" s="4">
        <v>0</v>
      </c>
    </row>
    <row r="375" spans="1:9" x14ac:dyDescent="0.2">
      <c r="A375" s="2">
        <v>14</v>
      </c>
      <c r="B375" s="1" t="s">
        <v>118</v>
      </c>
      <c r="C375" s="4">
        <v>40</v>
      </c>
      <c r="D375" s="8">
        <v>2</v>
      </c>
      <c r="E375" s="4">
        <v>0</v>
      </c>
      <c r="F375" s="8">
        <v>0</v>
      </c>
      <c r="G375" s="4">
        <v>34</v>
      </c>
      <c r="H375" s="8">
        <v>4.43</v>
      </c>
      <c r="I375" s="4">
        <v>0</v>
      </c>
    </row>
    <row r="376" spans="1:9" x14ac:dyDescent="0.2">
      <c r="A376" s="2">
        <v>15</v>
      </c>
      <c r="B376" s="1" t="s">
        <v>116</v>
      </c>
      <c r="C376" s="4">
        <v>37</v>
      </c>
      <c r="D376" s="8">
        <v>1.85</v>
      </c>
      <c r="E376" s="4">
        <v>26</v>
      </c>
      <c r="F376" s="8">
        <v>2.17</v>
      </c>
      <c r="G376" s="4">
        <v>11</v>
      </c>
      <c r="H376" s="8">
        <v>1.43</v>
      </c>
      <c r="I376" s="4">
        <v>0</v>
      </c>
    </row>
    <row r="377" spans="1:9" x14ac:dyDescent="0.2">
      <c r="A377" s="2">
        <v>16</v>
      </c>
      <c r="B377" s="1" t="s">
        <v>110</v>
      </c>
      <c r="C377" s="4">
        <v>32</v>
      </c>
      <c r="D377" s="8">
        <v>1.6</v>
      </c>
      <c r="E377" s="4">
        <v>10</v>
      </c>
      <c r="F377" s="8">
        <v>0.83</v>
      </c>
      <c r="G377" s="4">
        <v>22</v>
      </c>
      <c r="H377" s="8">
        <v>2.86</v>
      </c>
      <c r="I377" s="4">
        <v>0</v>
      </c>
    </row>
    <row r="378" spans="1:9" x14ac:dyDescent="0.2">
      <c r="A378" s="2">
        <v>17</v>
      </c>
      <c r="B378" s="1" t="s">
        <v>101</v>
      </c>
      <c r="C378" s="4">
        <v>30</v>
      </c>
      <c r="D378" s="8">
        <v>1.5</v>
      </c>
      <c r="E378" s="4">
        <v>7</v>
      </c>
      <c r="F378" s="8">
        <v>0.57999999999999996</v>
      </c>
      <c r="G378" s="4">
        <v>23</v>
      </c>
      <c r="H378" s="8">
        <v>2.99</v>
      </c>
      <c r="I378" s="4">
        <v>0</v>
      </c>
    </row>
    <row r="379" spans="1:9" x14ac:dyDescent="0.2">
      <c r="A379" s="2">
        <v>18</v>
      </c>
      <c r="B379" s="1" t="s">
        <v>100</v>
      </c>
      <c r="C379" s="4">
        <v>29</v>
      </c>
      <c r="D379" s="8">
        <v>1.45</v>
      </c>
      <c r="E379" s="4">
        <v>7</v>
      </c>
      <c r="F379" s="8">
        <v>0.57999999999999996</v>
      </c>
      <c r="G379" s="4">
        <v>22</v>
      </c>
      <c r="H379" s="8">
        <v>2.86</v>
      </c>
      <c r="I379" s="4">
        <v>0</v>
      </c>
    </row>
    <row r="380" spans="1:9" x14ac:dyDescent="0.2">
      <c r="A380" s="2">
        <v>19</v>
      </c>
      <c r="B380" s="1" t="s">
        <v>107</v>
      </c>
      <c r="C380" s="4">
        <v>27</v>
      </c>
      <c r="D380" s="8">
        <v>1.35</v>
      </c>
      <c r="E380" s="4">
        <v>2</v>
      </c>
      <c r="F380" s="8">
        <v>0.17</v>
      </c>
      <c r="G380" s="4">
        <v>25</v>
      </c>
      <c r="H380" s="8">
        <v>3.26</v>
      </c>
      <c r="I380" s="4">
        <v>0</v>
      </c>
    </row>
    <row r="381" spans="1:9" x14ac:dyDescent="0.2">
      <c r="A381" s="2">
        <v>19</v>
      </c>
      <c r="B381" s="1" t="s">
        <v>113</v>
      </c>
      <c r="C381" s="4">
        <v>27</v>
      </c>
      <c r="D381" s="8">
        <v>1.35</v>
      </c>
      <c r="E381" s="4">
        <v>10</v>
      </c>
      <c r="F381" s="8">
        <v>0.83</v>
      </c>
      <c r="G381" s="4">
        <v>16</v>
      </c>
      <c r="H381" s="8">
        <v>2.08</v>
      </c>
      <c r="I381" s="4">
        <v>0</v>
      </c>
    </row>
    <row r="382" spans="1:9" x14ac:dyDescent="0.2">
      <c r="A382" s="1"/>
      <c r="C382" s="4"/>
      <c r="D382" s="8"/>
      <c r="E382" s="4"/>
      <c r="F382" s="8"/>
      <c r="G382" s="4"/>
      <c r="H382" s="8"/>
      <c r="I382" s="4"/>
    </row>
    <row r="383" spans="1:9" x14ac:dyDescent="0.2">
      <c r="A383" s="1" t="s">
        <v>17</v>
      </c>
      <c r="C383" s="4"/>
      <c r="D383" s="8"/>
      <c r="E383" s="4"/>
      <c r="F383" s="8"/>
      <c r="G383" s="4"/>
      <c r="H383" s="8"/>
      <c r="I383" s="4"/>
    </row>
    <row r="384" spans="1:9" x14ac:dyDescent="0.2">
      <c r="A384" s="2">
        <v>1</v>
      </c>
      <c r="B384" s="1" t="s">
        <v>112</v>
      </c>
      <c r="C384" s="4">
        <v>522</v>
      </c>
      <c r="D384" s="8">
        <v>9.85</v>
      </c>
      <c r="E384" s="4">
        <v>398</v>
      </c>
      <c r="F384" s="8">
        <v>19.989999999999998</v>
      </c>
      <c r="G384" s="4">
        <v>124</v>
      </c>
      <c r="H384" s="8">
        <v>3.76</v>
      </c>
      <c r="I384" s="4">
        <v>0</v>
      </c>
    </row>
    <row r="385" spans="1:9" x14ac:dyDescent="0.2">
      <c r="A385" s="2">
        <v>2</v>
      </c>
      <c r="B385" s="1" t="s">
        <v>108</v>
      </c>
      <c r="C385" s="4">
        <v>484</v>
      </c>
      <c r="D385" s="8">
        <v>9.14</v>
      </c>
      <c r="E385" s="4">
        <v>105</v>
      </c>
      <c r="F385" s="8">
        <v>5.27</v>
      </c>
      <c r="G385" s="4">
        <v>377</v>
      </c>
      <c r="H385" s="8">
        <v>11.44</v>
      </c>
      <c r="I385" s="4">
        <v>0</v>
      </c>
    </row>
    <row r="386" spans="1:9" x14ac:dyDescent="0.2">
      <c r="A386" s="2">
        <v>3</v>
      </c>
      <c r="B386" s="1" t="s">
        <v>111</v>
      </c>
      <c r="C386" s="4">
        <v>409</v>
      </c>
      <c r="D386" s="8">
        <v>7.72</v>
      </c>
      <c r="E386" s="4">
        <v>324</v>
      </c>
      <c r="F386" s="8">
        <v>16.27</v>
      </c>
      <c r="G386" s="4">
        <v>84</v>
      </c>
      <c r="H386" s="8">
        <v>2.5499999999999998</v>
      </c>
      <c r="I386" s="4">
        <v>1</v>
      </c>
    </row>
    <row r="387" spans="1:9" x14ac:dyDescent="0.2">
      <c r="A387" s="2">
        <v>4</v>
      </c>
      <c r="B387" s="1" t="s">
        <v>98</v>
      </c>
      <c r="C387" s="4">
        <v>369</v>
      </c>
      <c r="D387" s="8">
        <v>6.96</v>
      </c>
      <c r="E387" s="4">
        <v>67</v>
      </c>
      <c r="F387" s="8">
        <v>3.37</v>
      </c>
      <c r="G387" s="4">
        <v>302</v>
      </c>
      <c r="H387" s="8">
        <v>9.17</v>
      </c>
      <c r="I387" s="4">
        <v>0</v>
      </c>
    </row>
    <row r="388" spans="1:9" x14ac:dyDescent="0.2">
      <c r="A388" s="2">
        <v>5</v>
      </c>
      <c r="B388" s="1" t="s">
        <v>97</v>
      </c>
      <c r="C388" s="4">
        <v>337</v>
      </c>
      <c r="D388" s="8">
        <v>6.36</v>
      </c>
      <c r="E388" s="4">
        <v>42</v>
      </c>
      <c r="F388" s="8">
        <v>2.11</v>
      </c>
      <c r="G388" s="4">
        <v>295</v>
      </c>
      <c r="H388" s="8">
        <v>8.9499999999999993</v>
      </c>
      <c r="I388" s="4">
        <v>0</v>
      </c>
    </row>
    <row r="389" spans="1:9" x14ac:dyDescent="0.2">
      <c r="A389" s="2">
        <v>6</v>
      </c>
      <c r="B389" s="1" t="s">
        <v>106</v>
      </c>
      <c r="C389" s="4">
        <v>288</v>
      </c>
      <c r="D389" s="8">
        <v>5.44</v>
      </c>
      <c r="E389" s="4">
        <v>114</v>
      </c>
      <c r="F389" s="8">
        <v>5.73</v>
      </c>
      <c r="G389" s="4">
        <v>173</v>
      </c>
      <c r="H389" s="8">
        <v>5.25</v>
      </c>
      <c r="I389" s="4">
        <v>1</v>
      </c>
    </row>
    <row r="390" spans="1:9" x14ac:dyDescent="0.2">
      <c r="A390" s="2">
        <v>7</v>
      </c>
      <c r="B390" s="1" t="s">
        <v>115</v>
      </c>
      <c r="C390" s="4">
        <v>238</v>
      </c>
      <c r="D390" s="8">
        <v>4.49</v>
      </c>
      <c r="E390" s="4">
        <v>203</v>
      </c>
      <c r="F390" s="8">
        <v>10.199999999999999</v>
      </c>
      <c r="G390" s="4">
        <v>35</v>
      </c>
      <c r="H390" s="8">
        <v>1.06</v>
      </c>
      <c r="I390" s="4">
        <v>0</v>
      </c>
    </row>
    <row r="391" spans="1:9" x14ac:dyDescent="0.2">
      <c r="A391" s="2">
        <v>8</v>
      </c>
      <c r="B391" s="1" t="s">
        <v>114</v>
      </c>
      <c r="C391" s="4">
        <v>221</v>
      </c>
      <c r="D391" s="8">
        <v>4.17</v>
      </c>
      <c r="E391" s="4">
        <v>146</v>
      </c>
      <c r="F391" s="8">
        <v>7.33</v>
      </c>
      <c r="G391" s="4">
        <v>74</v>
      </c>
      <c r="H391" s="8">
        <v>2.25</v>
      </c>
      <c r="I391" s="4">
        <v>1</v>
      </c>
    </row>
    <row r="392" spans="1:9" x14ac:dyDescent="0.2">
      <c r="A392" s="2">
        <v>9</v>
      </c>
      <c r="B392" s="1" t="s">
        <v>109</v>
      </c>
      <c r="C392" s="4">
        <v>210</v>
      </c>
      <c r="D392" s="8">
        <v>3.96</v>
      </c>
      <c r="E392" s="4">
        <v>103</v>
      </c>
      <c r="F392" s="8">
        <v>5.17</v>
      </c>
      <c r="G392" s="4">
        <v>107</v>
      </c>
      <c r="H392" s="8">
        <v>3.25</v>
      </c>
      <c r="I392" s="4">
        <v>0</v>
      </c>
    </row>
    <row r="393" spans="1:9" x14ac:dyDescent="0.2">
      <c r="A393" s="2">
        <v>10</v>
      </c>
      <c r="B393" s="1" t="s">
        <v>104</v>
      </c>
      <c r="C393" s="4">
        <v>199</v>
      </c>
      <c r="D393" s="8">
        <v>3.76</v>
      </c>
      <c r="E393" s="4">
        <v>119</v>
      </c>
      <c r="F393" s="8">
        <v>5.98</v>
      </c>
      <c r="G393" s="4">
        <v>79</v>
      </c>
      <c r="H393" s="8">
        <v>2.4</v>
      </c>
      <c r="I393" s="4">
        <v>1</v>
      </c>
    </row>
    <row r="394" spans="1:9" x14ac:dyDescent="0.2">
      <c r="A394" s="2">
        <v>11</v>
      </c>
      <c r="B394" s="1" t="s">
        <v>99</v>
      </c>
      <c r="C394" s="4">
        <v>197</v>
      </c>
      <c r="D394" s="8">
        <v>3.72</v>
      </c>
      <c r="E394" s="4">
        <v>16</v>
      </c>
      <c r="F394" s="8">
        <v>0.8</v>
      </c>
      <c r="G394" s="4">
        <v>181</v>
      </c>
      <c r="H394" s="8">
        <v>5.49</v>
      </c>
      <c r="I394" s="4">
        <v>0</v>
      </c>
    </row>
    <row r="395" spans="1:9" x14ac:dyDescent="0.2">
      <c r="A395" s="2">
        <v>12</v>
      </c>
      <c r="B395" s="1" t="s">
        <v>105</v>
      </c>
      <c r="C395" s="4">
        <v>137</v>
      </c>
      <c r="D395" s="8">
        <v>2.59</v>
      </c>
      <c r="E395" s="4">
        <v>48</v>
      </c>
      <c r="F395" s="8">
        <v>2.41</v>
      </c>
      <c r="G395" s="4">
        <v>89</v>
      </c>
      <c r="H395" s="8">
        <v>2.7</v>
      </c>
      <c r="I395" s="4">
        <v>0</v>
      </c>
    </row>
    <row r="396" spans="1:9" x14ac:dyDescent="0.2">
      <c r="A396" s="2">
        <v>13</v>
      </c>
      <c r="B396" s="1" t="s">
        <v>110</v>
      </c>
      <c r="C396" s="4">
        <v>131</v>
      </c>
      <c r="D396" s="8">
        <v>2.4700000000000002</v>
      </c>
      <c r="E396" s="4">
        <v>35</v>
      </c>
      <c r="F396" s="8">
        <v>1.76</v>
      </c>
      <c r="G396" s="4">
        <v>95</v>
      </c>
      <c r="H396" s="8">
        <v>2.88</v>
      </c>
      <c r="I396" s="4">
        <v>0</v>
      </c>
    </row>
    <row r="397" spans="1:9" x14ac:dyDescent="0.2">
      <c r="A397" s="2">
        <v>14</v>
      </c>
      <c r="B397" s="1" t="s">
        <v>107</v>
      </c>
      <c r="C397" s="4">
        <v>126</v>
      </c>
      <c r="D397" s="8">
        <v>2.38</v>
      </c>
      <c r="E397" s="4">
        <v>4</v>
      </c>
      <c r="F397" s="8">
        <v>0.2</v>
      </c>
      <c r="G397" s="4">
        <v>122</v>
      </c>
      <c r="H397" s="8">
        <v>3.7</v>
      </c>
      <c r="I397" s="4">
        <v>0</v>
      </c>
    </row>
    <row r="398" spans="1:9" x14ac:dyDescent="0.2">
      <c r="A398" s="2">
        <v>15</v>
      </c>
      <c r="B398" s="1" t="s">
        <v>103</v>
      </c>
      <c r="C398" s="4">
        <v>104</v>
      </c>
      <c r="D398" s="8">
        <v>1.96</v>
      </c>
      <c r="E398" s="4">
        <v>38</v>
      </c>
      <c r="F398" s="8">
        <v>1.91</v>
      </c>
      <c r="G398" s="4">
        <v>66</v>
      </c>
      <c r="H398" s="8">
        <v>2</v>
      </c>
      <c r="I398" s="4">
        <v>0</v>
      </c>
    </row>
    <row r="399" spans="1:9" x14ac:dyDescent="0.2">
      <c r="A399" s="2">
        <v>16</v>
      </c>
      <c r="B399" s="1" t="s">
        <v>113</v>
      </c>
      <c r="C399" s="4">
        <v>92</v>
      </c>
      <c r="D399" s="8">
        <v>1.74</v>
      </c>
      <c r="E399" s="4">
        <v>30</v>
      </c>
      <c r="F399" s="8">
        <v>1.51</v>
      </c>
      <c r="G399" s="4">
        <v>62</v>
      </c>
      <c r="H399" s="8">
        <v>1.88</v>
      </c>
      <c r="I399" s="4">
        <v>0</v>
      </c>
    </row>
    <row r="400" spans="1:9" x14ac:dyDescent="0.2">
      <c r="A400" s="2">
        <v>17</v>
      </c>
      <c r="B400" s="1" t="s">
        <v>100</v>
      </c>
      <c r="C400" s="4">
        <v>77</v>
      </c>
      <c r="D400" s="8">
        <v>1.45</v>
      </c>
      <c r="E400" s="4">
        <v>15</v>
      </c>
      <c r="F400" s="8">
        <v>0.75</v>
      </c>
      <c r="G400" s="4">
        <v>62</v>
      </c>
      <c r="H400" s="8">
        <v>1.88</v>
      </c>
      <c r="I400" s="4">
        <v>0</v>
      </c>
    </row>
    <row r="401" spans="1:9" x14ac:dyDescent="0.2">
      <c r="A401" s="2">
        <v>18</v>
      </c>
      <c r="B401" s="1" t="s">
        <v>102</v>
      </c>
      <c r="C401" s="4">
        <v>75</v>
      </c>
      <c r="D401" s="8">
        <v>1.42</v>
      </c>
      <c r="E401" s="4">
        <v>5</v>
      </c>
      <c r="F401" s="8">
        <v>0.25</v>
      </c>
      <c r="G401" s="4">
        <v>70</v>
      </c>
      <c r="H401" s="8">
        <v>2.12</v>
      </c>
      <c r="I401" s="4">
        <v>0</v>
      </c>
    </row>
    <row r="402" spans="1:9" x14ac:dyDescent="0.2">
      <c r="A402" s="2">
        <v>19</v>
      </c>
      <c r="B402" s="1" t="s">
        <v>101</v>
      </c>
      <c r="C402" s="4">
        <v>73</v>
      </c>
      <c r="D402" s="8">
        <v>1.38</v>
      </c>
      <c r="E402" s="4">
        <v>10</v>
      </c>
      <c r="F402" s="8">
        <v>0.5</v>
      </c>
      <c r="G402" s="4">
        <v>63</v>
      </c>
      <c r="H402" s="8">
        <v>1.91</v>
      </c>
      <c r="I402" s="4">
        <v>0</v>
      </c>
    </row>
    <row r="403" spans="1:9" x14ac:dyDescent="0.2">
      <c r="A403" s="2">
        <v>20</v>
      </c>
      <c r="B403" s="1" t="s">
        <v>117</v>
      </c>
      <c r="C403" s="4">
        <v>67</v>
      </c>
      <c r="D403" s="8">
        <v>1.26</v>
      </c>
      <c r="E403" s="4">
        <v>12</v>
      </c>
      <c r="F403" s="8">
        <v>0.6</v>
      </c>
      <c r="G403" s="4">
        <v>55</v>
      </c>
      <c r="H403" s="8">
        <v>1.67</v>
      </c>
      <c r="I403" s="4">
        <v>0</v>
      </c>
    </row>
    <row r="404" spans="1:9" x14ac:dyDescent="0.2">
      <c r="A404" s="2">
        <v>20</v>
      </c>
      <c r="B404" s="1" t="s">
        <v>119</v>
      </c>
      <c r="C404" s="4">
        <v>67</v>
      </c>
      <c r="D404" s="8">
        <v>1.26</v>
      </c>
      <c r="E404" s="4">
        <v>3</v>
      </c>
      <c r="F404" s="8">
        <v>0.15</v>
      </c>
      <c r="G404" s="4">
        <v>63</v>
      </c>
      <c r="H404" s="8">
        <v>1.91</v>
      </c>
      <c r="I404" s="4">
        <v>1</v>
      </c>
    </row>
    <row r="405" spans="1:9" x14ac:dyDescent="0.2">
      <c r="A405" s="1"/>
      <c r="C405" s="4"/>
      <c r="D405" s="8"/>
      <c r="E405" s="4"/>
      <c r="F405" s="8"/>
      <c r="G405" s="4"/>
      <c r="H405" s="8"/>
      <c r="I405" s="4"/>
    </row>
    <row r="406" spans="1:9" x14ac:dyDescent="0.2">
      <c r="A406" s="1" t="s">
        <v>18</v>
      </c>
      <c r="C406" s="4"/>
      <c r="D406" s="8"/>
      <c r="E406" s="4"/>
      <c r="F406" s="8"/>
      <c r="G406" s="4"/>
      <c r="H406" s="8"/>
      <c r="I406" s="4"/>
    </row>
    <row r="407" spans="1:9" x14ac:dyDescent="0.2">
      <c r="A407" s="2">
        <v>1</v>
      </c>
      <c r="B407" s="1" t="s">
        <v>111</v>
      </c>
      <c r="C407" s="4">
        <v>194</v>
      </c>
      <c r="D407" s="8">
        <v>11.1</v>
      </c>
      <c r="E407" s="4">
        <v>168</v>
      </c>
      <c r="F407" s="8">
        <v>17.32</v>
      </c>
      <c r="G407" s="4">
        <v>26</v>
      </c>
      <c r="H407" s="8">
        <v>3.43</v>
      </c>
      <c r="I407" s="4">
        <v>0</v>
      </c>
    </row>
    <row r="408" spans="1:9" x14ac:dyDescent="0.2">
      <c r="A408" s="2">
        <v>2</v>
      </c>
      <c r="B408" s="1" t="s">
        <v>112</v>
      </c>
      <c r="C408" s="4">
        <v>156</v>
      </c>
      <c r="D408" s="8">
        <v>8.93</v>
      </c>
      <c r="E408" s="4">
        <v>139</v>
      </c>
      <c r="F408" s="8">
        <v>14.33</v>
      </c>
      <c r="G408" s="4">
        <v>17</v>
      </c>
      <c r="H408" s="8">
        <v>2.25</v>
      </c>
      <c r="I408" s="4">
        <v>0</v>
      </c>
    </row>
    <row r="409" spans="1:9" x14ac:dyDescent="0.2">
      <c r="A409" s="2">
        <v>3</v>
      </c>
      <c r="B409" s="1" t="s">
        <v>97</v>
      </c>
      <c r="C409" s="4">
        <v>114</v>
      </c>
      <c r="D409" s="8">
        <v>6.53</v>
      </c>
      <c r="E409" s="4">
        <v>42</v>
      </c>
      <c r="F409" s="8">
        <v>4.33</v>
      </c>
      <c r="G409" s="4">
        <v>72</v>
      </c>
      <c r="H409" s="8">
        <v>9.51</v>
      </c>
      <c r="I409" s="4">
        <v>0</v>
      </c>
    </row>
    <row r="410" spans="1:9" x14ac:dyDescent="0.2">
      <c r="A410" s="2">
        <v>4</v>
      </c>
      <c r="B410" s="1" t="s">
        <v>108</v>
      </c>
      <c r="C410" s="4">
        <v>113</v>
      </c>
      <c r="D410" s="8">
        <v>6.47</v>
      </c>
      <c r="E410" s="4">
        <v>60</v>
      </c>
      <c r="F410" s="8">
        <v>6.19</v>
      </c>
      <c r="G410" s="4">
        <v>53</v>
      </c>
      <c r="H410" s="8">
        <v>7</v>
      </c>
      <c r="I410" s="4">
        <v>0</v>
      </c>
    </row>
    <row r="411" spans="1:9" x14ac:dyDescent="0.2">
      <c r="A411" s="2">
        <v>5</v>
      </c>
      <c r="B411" s="1" t="s">
        <v>98</v>
      </c>
      <c r="C411" s="4">
        <v>104</v>
      </c>
      <c r="D411" s="8">
        <v>5.95</v>
      </c>
      <c r="E411" s="4">
        <v>58</v>
      </c>
      <c r="F411" s="8">
        <v>5.98</v>
      </c>
      <c r="G411" s="4">
        <v>46</v>
      </c>
      <c r="H411" s="8">
        <v>6.08</v>
      </c>
      <c r="I411" s="4">
        <v>0</v>
      </c>
    </row>
    <row r="412" spans="1:9" x14ac:dyDescent="0.2">
      <c r="A412" s="2">
        <v>6</v>
      </c>
      <c r="B412" s="1" t="s">
        <v>104</v>
      </c>
      <c r="C412" s="4">
        <v>99</v>
      </c>
      <c r="D412" s="8">
        <v>5.67</v>
      </c>
      <c r="E412" s="4">
        <v>76</v>
      </c>
      <c r="F412" s="8">
        <v>7.84</v>
      </c>
      <c r="G412" s="4">
        <v>23</v>
      </c>
      <c r="H412" s="8">
        <v>3.04</v>
      </c>
      <c r="I412" s="4">
        <v>0</v>
      </c>
    </row>
    <row r="413" spans="1:9" x14ac:dyDescent="0.2">
      <c r="A413" s="2">
        <v>7</v>
      </c>
      <c r="B413" s="1" t="s">
        <v>106</v>
      </c>
      <c r="C413" s="4">
        <v>98</v>
      </c>
      <c r="D413" s="8">
        <v>5.61</v>
      </c>
      <c r="E413" s="4">
        <v>52</v>
      </c>
      <c r="F413" s="8">
        <v>5.36</v>
      </c>
      <c r="G413" s="4">
        <v>46</v>
      </c>
      <c r="H413" s="8">
        <v>6.08</v>
      </c>
      <c r="I413" s="4">
        <v>0</v>
      </c>
    </row>
    <row r="414" spans="1:9" x14ac:dyDescent="0.2">
      <c r="A414" s="2">
        <v>8</v>
      </c>
      <c r="B414" s="1" t="s">
        <v>114</v>
      </c>
      <c r="C414" s="4">
        <v>82</v>
      </c>
      <c r="D414" s="8">
        <v>4.6900000000000004</v>
      </c>
      <c r="E414" s="4">
        <v>56</v>
      </c>
      <c r="F414" s="8">
        <v>5.77</v>
      </c>
      <c r="G414" s="4">
        <v>13</v>
      </c>
      <c r="H414" s="8">
        <v>1.72</v>
      </c>
      <c r="I414" s="4">
        <v>1</v>
      </c>
    </row>
    <row r="415" spans="1:9" x14ac:dyDescent="0.2">
      <c r="A415" s="2">
        <v>9</v>
      </c>
      <c r="B415" s="1" t="s">
        <v>115</v>
      </c>
      <c r="C415" s="4">
        <v>62</v>
      </c>
      <c r="D415" s="8">
        <v>3.55</v>
      </c>
      <c r="E415" s="4">
        <v>55</v>
      </c>
      <c r="F415" s="8">
        <v>5.67</v>
      </c>
      <c r="G415" s="4">
        <v>7</v>
      </c>
      <c r="H415" s="8">
        <v>0.92</v>
      </c>
      <c r="I415" s="4">
        <v>0</v>
      </c>
    </row>
    <row r="416" spans="1:9" x14ac:dyDescent="0.2">
      <c r="A416" s="2">
        <v>10</v>
      </c>
      <c r="B416" s="1" t="s">
        <v>99</v>
      </c>
      <c r="C416" s="4">
        <v>59</v>
      </c>
      <c r="D416" s="8">
        <v>3.38</v>
      </c>
      <c r="E416" s="4">
        <v>17</v>
      </c>
      <c r="F416" s="8">
        <v>1.75</v>
      </c>
      <c r="G416" s="4">
        <v>42</v>
      </c>
      <c r="H416" s="8">
        <v>5.55</v>
      </c>
      <c r="I416" s="4">
        <v>0</v>
      </c>
    </row>
    <row r="417" spans="1:9" x14ac:dyDescent="0.2">
      <c r="A417" s="2">
        <v>11</v>
      </c>
      <c r="B417" s="1" t="s">
        <v>105</v>
      </c>
      <c r="C417" s="4">
        <v>50</v>
      </c>
      <c r="D417" s="8">
        <v>2.86</v>
      </c>
      <c r="E417" s="4">
        <v>33</v>
      </c>
      <c r="F417" s="8">
        <v>3.4</v>
      </c>
      <c r="G417" s="4">
        <v>17</v>
      </c>
      <c r="H417" s="8">
        <v>2.25</v>
      </c>
      <c r="I417" s="4">
        <v>0</v>
      </c>
    </row>
    <row r="418" spans="1:9" x14ac:dyDescent="0.2">
      <c r="A418" s="2">
        <v>12</v>
      </c>
      <c r="B418" s="1" t="s">
        <v>109</v>
      </c>
      <c r="C418" s="4">
        <v>48</v>
      </c>
      <c r="D418" s="8">
        <v>2.75</v>
      </c>
      <c r="E418" s="4">
        <v>23</v>
      </c>
      <c r="F418" s="8">
        <v>2.37</v>
      </c>
      <c r="G418" s="4">
        <v>25</v>
      </c>
      <c r="H418" s="8">
        <v>3.3</v>
      </c>
      <c r="I418" s="4">
        <v>0</v>
      </c>
    </row>
    <row r="419" spans="1:9" x14ac:dyDescent="0.2">
      <c r="A419" s="2">
        <v>13</v>
      </c>
      <c r="B419" s="1" t="s">
        <v>118</v>
      </c>
      <c r="C419" s="4">
        <v>47</v>
      </c>
      <c r="D419" s="8">
        <v>2.69</v>
      </c>
      <c r="E419" s="4">
        <v>0</v>
      </c>
      <c r="F419" s="8">
        <v>0</v>
      </c>
      <c r="G419" s="4">
        <v>44</v>
      </c>
      <c r="H419" s="8">
        <v>5.81</v>
      </c>
      <c r="I419" s="4">
        <v>1</v>
      </c>
    </row>
    <row r="420" spans="1:9" x14ac:dyDescent="0.2">
      <c r="A420" s="2">
        <v>14</v>
      </c>
      <c r="B420" s="1" t="s">
        <v>103</v>
      </c>
      <c r="C420" s="4">
        <v>42</v>
      </c>
      <c r="D420" s="8">
        <v>2.4</v>
      </c>
      <c r="E420" s="4">
        <v>23</v>
      </c>
      <c r="F420" s="8">
        <v>2.37</v>
      </c>
      <c r="G420" s="4">
        <v>19</v>
      </c>
      <c r="H420" s="8">
        <v>2.5099999999999998</v>
      </c>
      <c r="I420" s="4">
        <v>0</v>
      </c>
    </row>
    <row r="421" spans="1:9" x14ac:dyDescent="0.2">
      <c r="A421" s="2">
        <v>15</v>
      </c>
      <c r="B421" s="1" t="s">
        <v>110</v>
      </c>
      <c r="C421" s="4">
        <v>35</v>
      </c>
      <c r="D421" s="8">
        <v>2</v>
      </c>
      <c r="E421" s="4">
        <v>17</v>
      </c>
      <c r="F421" s="8">
        <v>1.75</v>
      </c>
      <c r="G421" s="4">
        <v>18</v>
      </c>
      <c r="H421" s="8">
        <v>2.38</v>
      </c>
      <c r="I421" s="4">
        <v>0</v>
      </c>
    </row>
    <row r="422" spans="1:9" x14ac:dyDescent="0.2">
      <c r="A422" s="2">
        <v>16</v>
      </c>
      <c r="B422" s="1" t="s">
        <v>116</v>
      </c>
      <c r="C422" s="4">
        <v>33</v>
      </c>
      <c r="D422" s="8">
        <v>1.89</v>
      </c>
      <c r="E422" s="4">
        <v>25</v>
      </c>
      <c r="F422" s="8">
        <v>2.58</v>
      </c>
      <c r="G422" s="4">
        <v>8</v>
      </c>
      <c r="H422" s="8">
        <v>1.06</v>
      </c>
      <c r="I422" s="4">
        <v>0</v>
      </c>
    </row>
    <row r="423" spans="1:9" x14ac:dyDescent="0.2">
      <c r="A423" s="2">
        <v>17</v>
      </c>
      <c r="B423" s="1" t="s">
        <v>113</v>
      </c>
      <c r="C423" s="4">
        <v>29</v>
      </c>
      <c r="D423" s="8">
        <v>1.66</v>
      </c>
      <c r="E423" s="4">
        <v>11</v>
      </c>
      <c r="F423" s="8">
        <v>1.1299999999999999</v>
      </c>
      <c r="G423" s="4">
        <v>17</v>
      </c>
      <c r="H423" s="8">
        <v>2.25</v>
      </c>
      <c r="I423" s="4">
        <v>0</v>
      </c>
    </row>
    <row r="424" spans="1:9" x14ac:dyDescent="0.2">
      <c r="A424" s="2">
        <v>18</v>
      </c>
      <c r="B424" s="1" t="s">
        <v>107</v>
      </c>
      <c r="C424" s="4">
        <v>24</v>
      </c>
      <c r="D424" s="8">
        <v>1.37</v>
      </c>
      <c r="E424" s="4">
        <v>0</v>
      </c>
      <c r="F424" s="8">
        <v>0</v>
      </c>
      <c r="G424" s="4">
        <v>24</v>
      </c>
      <c r="H424" s="8">
        <v>3.17</v>
      </c>
      <c r="I424" s="4">
        <v>0</v>
      </c>
    </row>
    <row r="425" spans="1:9" x14ac:dyDescent="0.2">
      <c r="A425" s="2">
        <v>19</v>
      </c>
      <c r="B425" s="1" t="s">
        <v>130</v>
      </c>
      <c r="C425" s="4">
        <v>20</v>
      </c>
      <c r="D425" s="8">
        <v>1.1399999999999999</v>
      </c>
      <c r="E425" s="4">
        <v>14</v>
      </c>
      <c r="F425" s="8">
        <v>1.44</v>
      </c>
      <c r="G425" s="4">
        <v>6</v>
      </c>
      <c r="H425" s="8">
        <v>0.79</v>
      </c>
      <c r="I425" s="4">
        <v>0</v>
      </c>
    </row>
    <row r="426" spans="1:9" x14ac:dyDescent="0.2">
      <c r="A426" s="2">
        <v>20</v>
      </c>
      <c r="B426" s="1" t="s">
        <v>129</v>
      </c>
      <c r="C426" s="4">
        <v>19</v>
      </c>
      <c r="D426" s="8">
        <v>1.0900000000000001</v>
      </c>
      <c r="E426" s="4">
        <v>11</v>
      </c>
      <c r="F426" s="8">
        <v>1.1299999999999999</v>
      </c>
      <c r="G426" s="4">
        <v>8</v>
      </c>
      <c r="H426" s="8">
        <v>1.06</v>
      </c>
      <c r="I426" s="4">
        <v>0</v>
      </c>
    </row>
    <row r="427" spans="1:9" x14ac:dyDescent="0.2">
      <c r="A427" s="2">
        <v>20</v>
      </c>
      <c r="B427" s="1" t="s">
        <v>100</v>
      </c>
      <c r="C427" s="4">
        <v>19</v>
      </c>
      <c r="D427" s="8">
        <v>1.0900000000000001</v>
      </c>
      <c r="E427" s="4">
        <v>10</v>
      </c>
      <c r="F427" s="8">
        <v>1.03</v>
      </c>
      <c r="G427" s="4">
        <v>9</v>
      </c>
      <c r="H427" s="8">
        <v>1.19</v>
      </c>
      <c r="I427" s="4">
        <v>0</v>
      </c>
    </row>
    <row r="428" spans="1:9" x14ac:dyDescent="0.2">
      <c r="A428" s="1"/>
      <c r="C428" s="4"/>
      <c r="D428" s="8"/>
      <c r="E428" s="4"/>
      <c r="F428" s="8"/>
      <c r="G428" s="4"/>
      <c r="H428" s="8"/>
      <c r="I428" s="4"/>
    </row>
    <row r="429" spans="1:9" x14ac:dyDescent="0.2">
      <c r="A429" s="1" t="s">
        <v>19</v>
      </c>
      <c r="C429" s="4"/>
      <c r="D429" s="8"/>
      <c r="E429" s="4"/>
      <c r="F429" s="8"/>
      <c r="G429" s="4"/>
      <c r="H429" s="8"/>
      <c r="I429" s="4"/>
    </row>
    <row r="430" spans="1:9" x14ac:dyDescent="0.2">
      <c r="A430" s="2">
        <v>1</v>
      </c>
      <c r="B430" s="1" t="s">
        <v>112</v>
      </c>
      <c r="C430" s="4">
        <v>241</v>
      </c>
      <c r="D430" s="8">
        <v>11.11</v>
      </c>
      <c r="E430" s="4">
        <v>216</v>
      </c>
      <c r="F430" s="8">
        <v>18.77</v>
      </c>
      <c r="G430" s="4">
        <v>25</v>
      </c>
      <c r="H430" s="8">
        <v>2.52</v>
      </c>
      <c r="I430" s="4">
        <v>0</v>
      </c>
    </row>
    <row r="431" spans="1:9" x14ac:dyDescent="0.2">
      <c r="A431" s="2">
        <v>2</v>
      </c>
      <c r="B431" s="1" t="s">
        <v>111</v>
      </c>
      <c r="C431" s="4">
        <v>177</v>
      </c>
      <c r="D431" s="8">
        <v>8.16</v>
      </c>
      <c r="E431" s="4">
        <v>150</v>
      </c>
      <c r="F431" s="8">
        <v>13.03</v>
      </c>
      <c r="G431" s="4">
        <v>27</v>
      </c>
      <c r="H431" s="8">
        <v>2.72</v>
      </c>
      <c r="I431" s="4">
        <v>0</v>
      </c>
    </row>
    <row r="432" spans="1:9" x14ac:dyDescent="0.2">
      <c r="A432" s="2">
        <v>3</v>
      </c>
      <c r="B432" s="1" t="s">
        <v>97</v>
      </c>
      <c r="C432" s="4">
        <v>153</v>
      </c>
      <c r="D432" s="8">
        <v>7.05</v>
      </c>
      <c r="E432" s="4">
        <v>64</v>
      </c>
      <c r="F432" s="8">
        <v>5.56</v>
      </c>
      <c r="G432" s="4">
        <v>89</v>
      </c>
      <c r="H432" s="8">
        <v>8.9499999999999993</v>
      </c>
      <c r="I432" s="4">
        <v>0</v>
      </c>
    </row>
    <row r="433" spans="1:9" x14ac:dyDescent="0.2">
      <c r="A433" s="2">
        <v>4</v>
      </c>
      <c r="B433" s="1" t="s">
        <v>106</v>
      </c>
      <c r="C433" s="4">
        <v>142</v>
      </c>
      <c r="D433" s="8">
        <v>6.55</v>
      </c>
      <c r="E433" s="4">
        <v>76</v>
      </c>
      <c r="F433" s="8">
        <v>6.6</v>
      </c>
      <c r="G433" s="4">
        <v>66</v>
      </c>
      <c r="H433" s="8">
        <v>6.64</v>
      </c>
      <c r="I433" s="4">
        <v>0</v>
      </c>
    </row>
    <row r="434" spans="1:9" x14ac:dyDescent="0.2">
      <c r="A434" s="2">
        <v>5</v>
      </c>
      <c r="B434" s="1" t="s">
        <v>98</v>
      </c>
      <c r="C434" s="4">
        <v>140</v>
      </c>
      <c r="D434" s="8">
        <v>6.45</v>
      </c>
      <c r="E434" s="4">
        <v>72</v>
      </c>
      <c r="F434" s="8">
        <v>6.26</v>
      </c>
      <c r="G434" s="4">
        <v>68</v>
      </c>
      <c r="H434" s="8">
        <v>6.84</v>
      </c>
      <c r="I434" s="4">
        <v>0</v>
      </c>
    </row>
    <row r="435" spans="1:9" x14ac:dyDescent="0.2">
      <c r="A435" s="2">
        <v>6</v>
      </c>
      <c r="B435" s="1" t="s">
        <v>99</v>
      </c>
      <c r="C435" s="4">
        <v>108</v>
      </c>
      <c r="D435" s="8">
        <v>4.9800000000000004</v>
      </c>
      <c r="E435" s="4">
        <v>28</v>
      </c>
      <c r="F435" s="8">
        <v>2.4300000000000002</v>
      </c>
      <c r="G435" s="4">
        <v>80</v>
      </c>
      <c r="H435" s="8">
        <v>8.0500000000000007</v>
      </c>
      <c r="I435" s="4">
        <v>0</v>
      </c>
    </row>
    <row r="436" spans="1:9" x14ac:dyDescent="0.2">
      <c r="A436" s="2">
        <v>7</v>
      </c>
      <c r="B436" s="1" t="s">
        <v>104</v>
      </c>
      <c r="C436" s="4">
        <v>107</v>
      </c>
      <c r="D436" s="8">
        <v>4.93</v>
      </c>
      <c r="E436" s="4">
        <v>79</v>
      </c>
      <c r="F436" s="8">
        <v>6.86</v>
      </c>
      <c r="G436" s="4">
        <v>28</v>
      </c>
      <c r="H436" s="8">
        <v>2.82</v>
      </c>
      <c r="I436" s="4">
        <v>0</v>
      </c>
    </row>
    <row r="437" spans="1:9" x14ac:dyDescent="0.2">
      <c r="A437" s="2">
        <v>8</v>
      </c>
      <c r="B437" s="1" t="s">
        <v>108</v>
      </c>
      <c r="C437" s="4">
        <v>102</v>
      </c>
      <c r="D437" s="8">
        <v>4.7</v>
      </c>
      <c r="E437" s="4">
        <v>55</v>
      </c>
      <c r="F437" s="8">
        <v>4.78</v>
      </c>
      <c r="G437" s="4">
        <v>47</v>
      </c>
      <c r="H437" s="8">
        <v>4.7300000000000004</v>
      </c>
      <c r="I437" s="4">
        <v>0</v>
      </c>
    </row>
    <row r="438" spans="1:9" x14ac:dyDescent="0.2">
      <c r="A438" s="2">
        <v>9</v>
      </c>
      <c r="B438" s="1" t="s">
        <v>114</v>
      </c>
      <c r="C438" s="4">
        <v>85</v>
      </c>
      <c r="D438" s="8">
        <v>3.92</v>
      </c>
      <c r="E438" s="4">
        <v>59</v>
      </c>
      <c r="F438" s="8">
        <v>5.13</v>
      </c>
      <c r="G438" s="4">
        <v>17</v>
      </c>
      <c r="H438" s="8">
        <v>1.71</v>
      </c>
      <c r="I438" s="4">
        <v>0</v>
      </c>
    </row>
    <row r="439" spans="1:9" x14ac:dyDescent="0.2">
      <c r="A439" s="2">
        <v>10</v>
      </c>
      <c r="B439" s="1" t="s">
        <v>105</v>
      </c>
      <c r="C439" s="4">
        <v>69</v>
      </c>
      <c r="D439" s="8">
        <v>3.18</v>
      </c>
      <c r="E439" s="4">
        <v>43</v>
      </c>
      <c r="F439" s="8">
        <v>3.74</v>
      </c>
      <c r="G439" s="4">
        <v>26</v>
      </c>
      <c r="H439" s="8">
        <v>2.62</v>
      </c>
      <c r="I439" s="4">
        <v>0</v>
      </c>
    </row>
    <row r="440" spans="1:9" x14ac:dyDescent="0.2">
      <c r="A440" s="2">
        <v>11</v>
      </c>
      <c r="B440" s="1" t="s">
        <v>115</v>
      </c>
      <c r="C440" s="4">
        <v>62</v>
      </c>
      <c r="D440" s="8">
        <v>2.86</v>
      </c>
      <c r="E440" s="4">
        <v>58</v>
      </c>
      <c r="F440" s="8">
        <v>5.04</v>
      </c>
      <c r="G440" s="4">
        <v>4</v>
      </c>
      <c r="H440" s="8">
        <v>0.4</v>
      </c>
      <c r="I440" s="4">
        <v>0</v>
      </c>
    </row>
    <row r="441" spans="1:9" x14ac:dyDescent="0.2">
      <c r="A441" s="2">
        <v>12</v>
      </c>
      <c r="B441" s="1" t="s">
        <v>116</v>
      </c>
      <c r="C441" s="4">
        <v>46</v>
      </c>
      <c r="D441" s="8">
        <v>2.12</v>
      </c>
      <c r="E441" s="4">
        <v>36</v>
      </c>
      <c r="F441" s="8">
        <v>3.13</v>
      </c>
      <c r="G441" s="4">
        <v>10</v>
      </c>
      <c r="H441" s="8">
        <v>1.01</v>
      </c>
      <c r="I441" s="4">
        <v>0</v>
      </c>
    </row>
    <row r="442" spans="1:9" x14ac:dyDescent="0.2">
      <c r="A442" s="2">
        <v>13</v>
      </c>
      <c r="B442" s="1" t="s">
        <v>100</v>
      </c>
      <c r="C442" s="4">
        <v>42</v>
      </c>
      <c r="D442" s="8">
        <v>1.94</v>
      </c>
      <c r="E442" s="4">
        <v>8</v>
      </c>
      <c r="F442" s="8">
        <v>0.7</v>
      </c>
      <c r="G442" s="4">
        <v>34</v>
      </c>
      <c r="H442" s="8">
        <v>3.42</v>
      </c>
      <c r="I442" s="4">
        <v>0</v>
      </c>
    </row>
    <row r="443" spans="1:9" x14ac:dyDescent="0.2">
      <c r="A443" s="2">
        <v>14</v>
      </c>
      <c r="B443" s="1" t="s">
        <v>109</v>
      </c>
      <c r="C443" s="4">
        <v>41</v>
      </c>
      <c r="D443" s="8">
        <v>1.89</v>
      </c>
      <c r="E443" s="4">
        <v>25</v>
      </c>
      <c r="F443" s="8">
        <v>2.17</v>
      </c>
      <c r="G443" s="4">
        <v>16</v>
      </c>
      <c r="H443" s="8">
        <v>1.61</v>
      </c>
      <c r="I443" s="4">
        <v>0</v>
      </c>
    </row>
    <row r="444" spans="1:9" x14ac:dyDescent="0.2">
      <c r="A444" s="2">
        <v>15</v>
      </c>
      <c r="B444" s="1" t="s">
        <v>103</v>
      </c>
      <c r="C444" s="4">
        <v>38</v>
      </c>
      <c r="D444" s="8">
        <v>1.75</v>
      </c>
      <c r="E444" s="4">
        <v>17</v>
      </c>
      <c r="F444" s="8">
        <v>1.48</v>
      </c>
      <c r="G444" s="4">
        <v>21</v>
      </c>
      <c r="H444" s="8">
        <v>2.11</v>
      </c>
      <c r="I444" s="4">
        <v>0</v>
      </c>
    </row>
    <row r="445" spans="1:9" x14ac:dyDescent="0.2">
      <c r="A445" s="2">
        <v>15</v>
      </c>
      <c r="B445" s="1" t="s">
        <v>113</v>
      </c>
      <c r="C445" s="4">
        <v>38</v>
      </c>
      <c r="D445" s="8">
        <v>1.75</v>
      </c>
      <c r="E445" s="4">
        <v>26</v>
      </c>
      <c r="F445" s="8">
        <v>2.2599999999999998</v>
      </c>
      <c r="G445" s="4">
        <v>12</v>
      </c>
      <c r="H445" s="8">
        <v>1.21</v>
      </c>
      <c r="I445" s="4">
        <v>0</v>
      </c>
    </row>
    <row r="446" spans="1:9" x14ac:dyDescent="0.2">
      <c r="A446" s="2">
        <v>17</v>
      </c>
      <c r="B446" s="1" t="s">
        <v>110</v>
      </c>
      <c r="C446" s="4">
        <v>37</v>
      </c>
      <c r="D446" s="8">
        <v>1.71</v>
      </c>
      <c r="E446" s="4">
        <v>16</v>
      </c>
      <c r="F446" s="8">
        <v>1.39</v>
      </c>
      <c r="G446" s="4">
        <v>19</v>
      </c>
      <c r="H446" s="8">
        <v>1.91</v>
      </c>
      <c r="I446" s="4">
        <v>0</v>
      </c>
    </row>
    <row r="447" spans="1:9" x14ac:dyDescent="0.2">
      <c r="A447" s="2">
        <v>18</v>
      </c>
      <c r="B447" s="1" t="s">
        <v>101</v>
      </c>
      <c r="C447" s="4">
        <v>36</v>
      </c>
      <c r="D447" s="8">
        <v>1.66</v>
      </c>
      <c r="E447" s="4">
        <v>11</v>
      </c>
      <c r="F447" s="8">
        <v>0.96</v>
      </c>
      <c r="G447" s="4">
        <v>25</v>
      </c>
      <c r="H447" s="8">
        <v>2.52</v>
      </c>
      <c r="I447" s="4">
        <v>0</v>
      </c>
    </row>
    <row r="448" spans="1:9" x14ac:dyDescent="0.2">
      <c r="A448" s="2">
        <v>19</v>
      </c>
      <c r="B448" s="1" t="s">
        <v>127</v>
      </c>
      <c r="C448" s="4">
        <v>32</v>
      </c>
      <c r="D448" s="8">
        <v>1.48</v>
      </c>
      <c r="E448" s="4">
        <v>12</v>
      </c>
      <c r="F448" s="8">
        <v>1.04</v>
      </c>
      <c r="G448" s="4">
        <v>20</v>
      </c>
      <c r="H448" s="8">
        <v>2.0099999999999998</v>
      </c>
      <c r="I448" s="4">
        <v>0</v>
      </c>
    </row>
    <row r="449" spans="1:9" x14ac:dyDescent="0.2">
      <c r="A449" s="2">
        <v>19</v>
      </c>
      <c r="B449" s="1" t="s">
        <v>117</v>
      </c>
      <c r="C449" s="4">
        <v>32</v>
      </c>
      <c r="D449" s="8">
        <v>1.48</v>
      </c>
      <c r="E449" s="4">
        <v>9</v>
      </c>
      <c r="F449" s="8">
        <v>0.78</v>
      </c>
      <c r="G449" s="4">
        <v>23</v>
      </c>
      <c r="H449" s="8">
        <v>2.31</v>
      </c>
      <c r="I449" s="4">
        <v>0</v>
      </c>
    </row>
    <row r="450" spans="1:9" x14ac:dyDescent="0.2">
      <c r="A450" s="1"/>
      <c r="C450" s="4"/>
      <c r="D450" s="8"/>
      <c r="E450" s="4"/>
      <c r="F450" s="8"/>
      <c r="G450" s="4"/>
      <c r="H450" s="8"/>
      <c r="I450" s="4"/>
    </row>
    <row r="451" spans="1:9" x14ac:dyDescent="0.2">
      <c r="A451" s="1" t="s">
        <v>20</v>
      </c>
      <c r="C451" s="4"/>
      <c r="D451" s="8"/>
      <c r="E451" s="4"/>
      <c r="F451" s="8"/>
      <c r="G451" s="4"/>
      <c r="H451" s="8"/>
      <c r="I451" s="4"/>
    </row>
    <row r="452" spans="1:9" x14ac:dyDescent="0.2">
      <c r="A452" s="2">
        <v>1</v>
      </c>
      <c r="B452" s="1" t="s">
        <v>111</v>
      </c>
      <c r="C452" s="4">
        <v>228</v>
      </c>
      <c r="D452" s="8">
        <v>12.06</v>
      </c>
      <c r="E452" s="4">
        <v>198</v>
      </c>
      <c r="F452" s="8">
        <v>18.329999999999998</v>
      </c>
      <c r="G452" s="4">
        <v>29</v>
      </c>
      <c r="H452" s="8">
        <v>3.66</v>
      </c>
      <c r="I452" s="4">
        <v>1</v>
      </c>
    </row>
    <row r="453" spans="1:9" x14ac:dyDescent="0.2">
      <c r="A453" s="2">
        <v>2</v>
      </c>
      <c r="B453" s="1" t="s">
        <v>112</v>
      </c>
      <c r="C453" s="4">
        <v>224</v>
      </c>
      <c r="D453" s="8">
        <v>11.85</v>
      </c>
      <c r="E453" s="4">
        <v>193</v>
      </c>
      <c r="F453" s="8">
        <v>17.87</v>
      </c>
      <c r="G453" s="4">
        <v>31</v>
      </c>
      <c r="H453" s="8">
        <v>3.91</v>
      </c>
      <c r="I453" s="4">
        <v>0</v>
      </c>
    </row>
    <row r="454" spans="1:9" x14ac:dyDescent="0.2">
      <c r="A454" s="2">
        <v>3</v>
      </c>
      <c r="B454" s="1" t="s">
        <v>106</v>
      </c>
      <c r="C454" s="4">
        <v>146</v>
      </c>
      <c r="D454" s="8">
        <v>7.72</v>
      </c>
      <c r="E454" s="4">
        <v>77</v>
      </c>
      <c r="F454" s="8">
        <v>7.13</v>
      </c>
      <c r="G454" s="4">
        <v>69</v>
      </c>
      <c r="H454" s="8">
        <v>8.7100000000000009</v>
      </c>
      <c r="I454" s="4">
        <v>0</v>
      </c>
    </row>
    <row r="455" spans="1:9" x14ac:dyDescent="0.2">
      <c r="A455" s="2">
        <v>4</v>
      </c>
      <c r="B455" s="1" t="s">
        <v>108</v>
      </c>
      <c r="C455" s="4">
        <v>136</v>
      </c>
      <c r="D455" s="8">
        <v>7.2</v>
      </c>
      <c r="E455" s="4">
        <v>62</v>
      </c>
      <c r="F455" s="8">
        <v>5.74</v>
      </c>
      <c r="G455" s="4">
        <v>74</v>
      </c>
      <c r="H455" s="8">
        <v>9.34</v>
      </c>
      <c r="I455" s="4">
        <v>0</v>
      </c>
    </row>
    <row r="456" spans="1:9" x14ac:dyDescent="0.2">
      <c r="A456" s="2">
        <v>5</v>
      </c>
      <c r="B456" s="1" t="s">
        <v>104</v>
      </c>
      <c r="C456" s="4">
        <v>96</v>
      </c>
      <c r="D456" s="8">
        <v>5.08</v>
      </c>
      <c r="E456" s="4">
        <v>75</v>
      </c>
      <c r="F456" s="8">
        <v>6.94</v>
      </c>
      <c r="G456" s="4">
        <v>21</v>
      </c>
      <c r="H456" s="8">
        <v>2.65</v>
      </c>
      <c r="I456" s="4">
        <v>0</v>
      </c>
    </row>
    <row r="457" spans="1:9" x14ac:dyDescent="0.2">
      <c r="A457" s="2">
        <v>6</v>
      </c>
      <c r="B457" s="1" t="s">
        <v>97</v>
      </c>
      <c r="C457" s="4">
        <v>92</v>
      </c>
      <c r="D457" s="8">
        <v>4.87</v>
      </c>
      <c r="E457" s="4">
        <v>26</v>
      </c>
      <c r="F457" s="8">
        <v>2.41</v>
      </c>
      <c r="G457" s="4">
        <v>66</v>
      </c>
      <c r="H457" s="8">
        <v>8.33</v>
      </c>
      <c r="I457" s="4">
        <v>0</v>
      </c>
    </row>
    <row r="458" spans="1:9" x14ac:dyDescent="0.2">
      <c r="A458" s="2">
        <v>7</v>
      </c>
      <c r="B458" s="1" t="s">
        <v>98</v>
      </c>
      <c r="C458" s="4">
        <v>83</v>
      </c>
      <c r="D458" s="8">
        <v>4.3899999999999997</v>
      </c>
      <c r="E458" s="4">
        <v>43</v>
      </c>
      <c r="F458" s="8">
        <v>3.98</v>
      </c>
      <c r="G458" s="4">
        <v>40</v>
      </c>
      <c r="H458" s="8">
        <v>5.05</v>
      </c>
      <c r="I458" s="4">
        <v>0</v>
      </c>
    </row>
    <row r="459" spans="1:9" x14ac:dyDescent="0.2">
      <c r="A459" s="2">
        <v>7</v>
      </c>
      <c r="B459" s="1" t="s">
        <v>114</v>
      </c>
      <c r="C459" s="4">
        <v>83</v>
      </c>
      <c r="D459" s="8">
        <v>4.3899999999999997</v>
      </c>
      <c r="E459" s="4">
        <v>52</v>
      </c>
      <c r="F459" s="8">
        <v>4.8099999999999996</v>
      </c>
      <c r="G459" s="4">
        <v>18</v>
      </c>
      <c r="H459" s="8">
        <v>2.27</v>
      </c>
      <c r="I459" s="4">
        <v>0</v>
      </c>
    </row>
    <row r="460" spans="1:9" x14ac:dyDescent="0.2">
      <c r="A460" s="2">
        <v>9</v>
      </c>
      <c r="B460" s="1" t="s">
        <v>115</v>
      </c>
      <c r="C460" s="4">
        <v>73</v>
      </c>
      <c r="D460" s="8">
        <v>3.86</v>
      </c>
      <c r="E460" s="4">
        <v>64</v>
      </c>
      <c r="F460" s="8">
        <v>5.93</v>
      </c>
      <c r="G460" s="4">
        <v>9</v>
      </c>
      <c r="H460" s="8">
        <v>1.1399999999999999</v>
      </c>
      <c r="I460" s="4">
        <v>0</v>
      </c>
    </row>
    <row r="461" spans="1:9" x14ac:dyDescent="0.2">
      <c r="A461" s="2">
        <v>10</v>
      </c>
      <c r="B461" s="1" t="s">
        <v>99</v>
      </c>
      <c r="C461" s="4">
        <v>65</v>
      </c>
      <c r="D461" s="8">
        <v>3.44</v>
      </c>
      <c r="E461" s="4">
        <v>18</v>
      </c>
      <c r="F461" s="8">
        <v>1.67</v>
      </c>
      <c r="G461" s="4">
        <v>47</v>
      </c>
      <c r="H461" s="8">
        <v>5.93</v>
      </c>
      <c r="I461" s="4">
        <v>0</v>
      </c>
    </row>
    <row r="462" spans="1:9" x14ac:dyDescent="0.2">
      <c r="A462" s="2">
        <v>11</v>
      </c>
      <c r="B462" s="1" t="s">
        <v>109</v>
      </c>
      <c r="C462" s="4">
        <v>60</v>
      </c>
      <c r="D462" s="8">
        <v>3.17</v>
      </c>
      <c r="E462" s="4">
        <v>44</v>
      </c>
      <c r="F462" s="8">
        <v>4.07</v>
      </c>
      <c r="G462" s="4">
        <v>16</v>
      </c>
      <c r="H462" s="8">
        <v>2.02</v>
      </c>
      <c r="I462" s="4">
        <v>0</v>
      </c>
    </row>
    <row r="463" spans="1:9" x14ac:dyDescent="0.2">
      <c r="A463" s="2">
        <v>12</v>
      </c>
      <c r="B463" s="1" t="s">
        <v>105</v>
      </c>
      <c r="C463" s="4">
        <v>57</v>
      </c>
      <c r="D463" s="8">
        <v>3.02</v>
      </c>
      <c r="E463" s="4">
        <v>35</v>
      </c>
      <c r="F463" s="8">
        <v>3.24</v>
      </c>
      <c r="G463" s="4">
        <v>22</v>
      </c>
      <c r="H463" s="8">
        <v>2.78</v>
      </c>
      <c r="I463" s="4">
        <v>0</v>
      </c>
    </row>
    <row r="464" spans="1:9" x14ac:dyDescent="0.2">
      <c r="A464" s="2">
        <v>13</v>
      </c>
      <c r="B464" s="1" t="s">
        <v>103</v>
      </c>
      <c r="C464" s="4">
        <v>41</v>
      </c>
      <c r="D464" s="8">
        <v>2.17</v>
      </c>
      <c r="E464" s="4">
        <v>21</v>
      </c>
      <c r="F464" s="8">
        <v>1.94</v>
      </c>
      <c r="G464" s="4">
        <v>20</v>
      </c>
      <c r="H464" s="8">
        <v>2.5299999999999998</v>
      </c>
      <c r="I464" s="4">
        <v>0</v>
      </c>
    </row>
    <row r="465" spans="1:9" x14ac:dyDescent="0.2">
      <c r="A465" s="2">
        <v>14</v>
      </c>
      <c r="B465" s="1" t="s">
        <v>116</v>
      </c>
      <c r="C465" s="4">
        <v>39</v>
      </c>
      <c r="D465" s="8">
        <v>2.06</v>
      </c>
      <c r="E465" s="4">
        <v>30</v>
      </c>
      <c r="F465" s="8">
        <v>2.78</v>
      </c>
      <c r="G465" s="4">
        <v>9</v>
      </c>
      <c r="H465" s="8">
        <v>1.1399999999999999</v>
      </c>
      <c r="I465" s="4">
        <v>0</v>
      </c>
    </row>
    <row r="466" spans="1:9" x14ac:dyDescent="0.2">
      <c r="A466" s="2">
        <v>15</v>
      </c>
      <c r="B466" s="1" t="s">
        <v>110</v>
      </c>
      <c r="C466" s="4">
        <v>36</v>
      </c>
      <c r="D466" s="8">
        <v>1.9</v>
      </c>
      <c r="E466" s="4">
        <v>17</v>
      </c>
      <c r="F466" s="8">
        <v>1.57</v>
      </c>
      <c r="G466" s="4">
        <v>19</v>
      </c>
      <c r="H466" s="8">
        <v>2.4</v>
      </c>
      <c r="I466" s="4">
        <v>0</v>
      </c>
    </row>
    <row r="467" spans="1:9" x14ac:dyDescent="0.2">
      <c r="A467" s="2">
        <v>15</v>
      </c>
      <c r="B467" s="1" t="s">
        <v>118</v>
      </c>
      <c r="C467" s="4">
        <v>36</v>
      </c>
      <c r="D467" s="8">
        <v>1.9</v>
      </c>
      <c r="E467" s="4">
        <v>3</v>
      </c>
      <c r="F467" s="8">
        <v>0.28000000000000003</v>
      </c>
      <c r="G467" s="4">
        <v>32</v>
      </c>
      <c r="H467" s="8">
        <v>4.04</v>
      </c>
      <c r="I467" s="4">
        <v>0</v>
      </c>
    </row>
    <row r="468" spans="1:9" x14ac:dyDescent="0.2">
      <c r="A468" s="2">
        <v>17</v>
      </c>
      <c r="B468" s="1" t="s">
        <v>101</v>
      </c>
      <c r="C468" s="4">
        <v>29</v>
      </c>
      <c r="D468" s="8">
        <v>1.53</v>
      </c>
      <c r="E468" s="4">
        <v>8</v>
      </c>
      <c r="F468" s="8">
        <v>0.74</v>
      </c>
      <c r="G468" s="4">
        <v>21</v>
      </c>
      <c r="H468" s="8">
        <v>2.65</v>
      </c>
      <c r="I468" s="4">
        <v>0</v>
      </c>
    </row>
    <row r="469" spans="1:9" x14ac:dyDescent="0.2">
      <c r="A469" s="2">
        <v>17</v>
      </c>
      <c r="B469" s="1" t="s">
        <v>107</v>
      </c>
      <c r="C469" s="4">
        <v>29</v>
      </c>
      <c r="D469" s="8">
        <v>1.53</v>
      </c>
      <c r="E469" s="4">
        <v>9</v>
      </c>
      <c r="F469" s="8">
        <v>0.83</v>
      </c>
      <c r="G469" s="4">
        <v>20</v>
      </c>
      <c r="H469" s="8">
        <v>2.5299999999999998</v>
      </c>
      <c r="I469" s="4">
        <v>0</v>
      </c>
    </row>
    <row r="470" spans="1:9" x14ac:dyDescent="0.2">
      <c r="A470" s="2">
        <v>19</v>
      </c>
      <c r="B470" s="1" t="s">
        <v>113</v>
      </c>
      <c r="C470" s="4">
        <v>23</v>
      </c>
      <c r="D470" s="8">
        <v>1.22</v>
      </c>
      <c r="E470" s="4">
        <v>8</v>
      </c>
      <c r="F470" s="8">
        <v>0.74</v>
      </c>
      <c r="G470" s="4">
        <v>15</v>
      </c>
      <c r="H470" s="8">
        <v>1.89</v>
      </c>
      <c r="I470" s="4">
        <v>0</v>
      </c>
    </row>
    <row r="471" spans="1:9" x14ac:dyDescent="0.2">
      <c r="A471" s="2">
        <v>20</v>
      </c>
      <c r="B471" s="1" t="s">
        <v>100</v>
      </c>
      <c r="C471" s="4">
        <v>19</v>
      </c>
      <c r="D471" s="8">
        <v>1.01</v>
      </c>
      <c r="E471" s="4">
        <v>7</v>
      </c>
      <c r="F471" s="8">
        <v>0.65</v>
      </c>
      <c r="G471" s="4">
        <v>12</v>
      </c>
      <c r="H471" s="8">
        <v>1.52</v>
      </c>
      <c r="I471" s="4">
        <v>0</v>
      </c>
    </row>
    <row r="472" spans="1:9" x14ac:dyDescent="0.2">
      <c r="A472" s="1"/>
      <c r="C472" s="4"/>
      <c r="D472" s="8"/>
      <c r="E472" s="4"/>
      <c r="F472" s="8"/>
      <c r="G472" s="4"/>
      <c r="H472" s="8"/>
      <c r="I472" s="4"/>
    </row>
    <row r="473" spans="1:9" x14ac:dyDescent="0.2">
      <c r="A473" s="1" t="s">
        <v>21</v>
      </c>
      <c r="C473" s="4"/>
      <c r="D473" s="8"/>
      <c r="E473" s="4"/>
      <c r="F473" s="8"/>
      <c r="G473" s="4"/>
      <c r="H473" s="8"/>
      <c r="I473" s="4"/>
    </row>
    <row r="474" spans="1:9" x14ac:dyDescent="0.2">
      <c r="A474" s="2">
        <v>1</v>
      </c>
      <c r="B474" s="1" t="s">
        <v>111</v>
      </c>
      <c r="C474" s="4">
        <v>230</v>
      </c>
      <c r="D474" s="8">
        <v>12.11</v>
      </c>
      <c r="E474" s="4">
        <v>194</v>
      </c>
      <c r="F474" s="8">
        <v>20.399999999999999</v>
      </c>
      <c r="G474" s="4">
        <v>36</v>
      </c>
      <c r="H474" s="8">
        <v>3.81</v>
      </c>
      <c r="I474" s="4">
        <v>0</v>
      </c>
    </row>
    <row r="475" spans="1:9" x14ac:dyDescent="0.2">
      <c r="A475" s="2">
        <v>2</v>
      </c>
      <c r="B475" s="1" t="s">
        <v>112</v>
      </c>
      <c r="C475" s="4">
        <v>213</v>
      </c>
      <c r="D475" s="8">
        <v>11.21</v>
      </c>
      <c r="E475" s="4">
        <v>180</v>
      </c>
      <c r="F475" s="8">
        <v>18.93</v>
      </c>
      <c r="G475" s="4">
        <v>33</v>
      </c>
      <c r="H475" s="8">
        <v>3.5</v>
      </c>
      <c r="I475" s="4">
        <v>0</v>
      </c>
    </row>
    <row r="476" spans="1:9" x14ac:dyDescent="0.2">
      <c r="A476" s="2">
        <v>3</v>
      </c>
      <c r="B476" s="1" t="s">
        <v>106</v>
      </c>
      <c r="C476" s="4">
        <v>128</v>
      </c>
      <c r="D476" s="8">
        <v>6.74</v>
      </c>
      <c r="E476" s="4">
        <v>55</v>
      </c>
      <c r="F476" s="8">
        <v>5.78</v>
      </c>
      <c r="G476" s="4">
        <v>73</v>
      </c>
      <c r="H476" s="8">
        <v>7.73</v>
      </c>
      <c r="I476" s="4">
        <v>0</v>
      </c>
    </row>
    <row r="477" spans="1:9" x14ac:dyDescent="0.2">
      <c r="A477" s="2">
        <v>4</v>
      </c>
      <c r="B477" s="1" t="s">
        <v>97</v>
      </c>
      <c r="C477" s="4">
        <v>125</v>
      </c>
      <c r="D477" s="8">
        <v>6.58</v>
      </c>
      <c r="E477" s="4">
        <v>32</v>
      </c>
      <c r="F477" s="8">
        <v>3.36</v>
      </c>
      <c r="G477" s="4">
        <v>93</v>
      </c>
      <c r="H477" s="8">
        <v>9.85</v>
      </c>
      <c r="I477" s="4">
        <v>0</v>
      </c>
    </row>
    <row r="478" spans="1:9" x14ac:dyDescent="0.2">
      <c r="A478" s="2">
        <v>5</v>
      </c>
      <c r="B478" s="1" t="s">
        <v>98</v>
      </c>
      <c r="C478" s="4">
        <v>102</v>
      </c>
      <c r="D478" s="8">
        <v>5.37</v>
      </c>
      <c r="E478" s="4">
        <v>42</v>
      </c>
      <c r="F478" s="8">
        <v>4.42</v>
      </c>
      <c r="G478" s="4">
        <v>60</v>
      </c>
      <c r="H478" s="8">
        <v>6.36</v>
      </c>
      <c r="I478" s="4">
        <v>0</v>
      </c>
    </row>
    <row r="479" spans="1:9" x14ac:dyDescent="0.2">
      <c r="A479" s="2">
        <v>6</v>
      </c>
      <c r="B479" s="1" t="s">
        <v>108</v>
      </c>
      <c r="C479" s="4">
        <v>96</v>
      </c>
      <c r="D479" s="8">
        <v>5.05</v>
      </c>
      <c r="E479" s="4">
        <v>29</v>
      </c>
      <c r="F479" s="8">
        <v>3.05</v>
      </c>
      <c r="G479" s="4">
        <v>67</v>
      </c>
      <c r="H479" s="8">
        <v>7.1</v>
      </c>
      <c r="I479" s="4">
        <v>0</v>
      </c>
    </row>
    <row r="480" spans="1:9" x14ac:dyDescent="0.2">
      <c r="A480" s="2">
        <v>7</v>
      </c>
      <c r="B480" s="1" t="s">
        <v>115</v>
      </c>
      <c r="C480" s="4">
        <v>84</v>
      </c>
      <c r="D480" s="8">
        <v>4.42</v>
      </c>
      <c r="E480" s="4">
        <v>73</v>
      </c>
      <c r="F480" s="8">
        <v>7.68</v>
      </c>
      <c r="G480" s="4">
        <v>11</v>
      </c>
      <c r="H480" s="8">
        <v>1.17</v>
      </c>
      <c r="I480" s="4">
        <v>0</v>
      </c>
    </row>
    <row r="481" spans="1:9" x14ac:dyDescent="0.2">
      <c r="A481" s="2">
        <v>8</v>
      </c>
      <c r="B481" s="1" t="s">
        <v>104</v>
      </c>
      <c r="C481" s="4">
        <v>83</v>
      </c>
      <c r="D481" s="8">
        <v>4.37</v>
      </c>
      <c r="E481" s="4">
        <v>53</v>
      </c>
      <c r="F481" s="8">
        <v>5.57</v>
      </c>
      <c r="G481" s="4">
        <v>30</v>
      </c>
      <c r="H481" s="8">
        <v>3.18</v>
      </c>
      <c r="I481" s="4">
        <v>0</v>
      </c>
    </row>
    <row r="482" spans="1:9" x14ac:dyDescent="0.2">
      <c r="A482" s="2">
        <v>8</v>
      </c>
      <c r="B482" s="1" t="s">
        <v>114</v>
      </c>
      <c r="C482" s="4">
        <v>83</v>
      </c>
      <c r="D482" s="8">
        <v>4.37</v>
      </c>
      <c r="E482" s="4">
        <v>61</v>
      </c>
      <c r="F482" s="8">
        <v>6.41</v>
      </c>
      <c r="G482" s="4">
        <v>18</v>
      </c>
      <c r="H482" s="8">
        <v>1.91</v>
      </c>
      <c r="I482" s="4">
        <v>0</v>
      </c>
    </row>
    <row r="483" spans="1:9" x14ac:dyDescent="0.2">
      <c r="A483" s="2">
        <v>10</v>
      </c>
      <c r="B483" s="1" t="s">
        <v>99</v>
      </c>
      <c r="C483" s="4">
        <v>68</v>
      </c>
      <c r="D483" s="8">
        <v>3.58</v>
      </c>
      <c r="E483" s="4">
        <v>14</v>
      </c>
      <c r="F483" s="8">
        <v>1.47</v>
      </c>
      <c r="G483" s="4">
        <v>54</v>
      </c>
      <c r="H483" s="8">
        <v>5.72</v>
      </c>
      <c r="I483" s="4">
        <v>0</v>
      </c>
    </row>
    <row r="484" spans="1:9" x14ac:dyDescent="0.2">
      <c r="A484" s="2">
        <v>11</v>
      </c>
      <c r="B484" s="1" t="s">
        <v>105</v>
      </c>
      <c r="C484" s="4">
        <v>67</v>
      </c>
      <c r="D484" s="8">
        <v>3.53</v>
      </c>
      <c r="E484" s="4">
        <v>31</v>
      </c>
      <c r="F484" s="8">
        <v>3.26</v>
      </c>
      <c r="G484" s="4">
        <v>36</v>
      </c>
      <c r="H484" s="8">
        <v>3.81</v>
      </c>
      <c r="I484" s="4">
        <v>0</v>
      </c>
    </row>
    <row r="485" spans="1:9" x14ac:dyDescent="0.2">
      <c r="A485" s="2">
        <v>12</v>
      </c>
      <c r="B485" s="1" t="s">
        <v>109</v>
      </c>
      <c r="C485" s="4">
        <v>56</v>
      </c>
      <c r="D485" s="8">
        <v>2.95</v>
      </c>
      <c r="E485" s="4">
        <v>33</v>
      </c>
      <c r="F485" s="8">
        <v>3.47</v>
      </c>
      <c r="G485" s="4">
        <v>23</v>
      </c>
      <c r="H485" s="8">
        <v>2.44</v>
      </c>
      <c r="I485" s="4">
        <v>0</v>
      </c>
    </row>
    <row r="486" spans="1:9" x14ac:dyDescent="0.2">
      <c r="A486" s="2">
        <v>13</v>
      </c>
      <c r="B486" s="1" t="s">
        <v>110</v>
      </c>
      <c r="C486" s="4">
        <v>47</v>
      </c>
      <c r="D486" s="8">
        <v>2.4700000000000002</v>
      </c>
      <c r="E486" s="4">
        <v>15</v>
      </c>
      <c r="F486" s="8">
        <v>1.58</v>
      </c>
      <c r="G486" s="4">
        <v>31</v>
      </c>
      <c r="H486" s="8">
        <v>3.28</v>
      </c>
      <c r="I486" s="4">
        <v>0</v>
      </c>
    </row>
    <row r="487" spans="1:9" x14ac:dyDescent="0.2">
      <c r="A487" s="2">
        <v>14</v>
      </c>
      <c r="B487" s="1" t="s">
        <v>103</v>
      </c>
      <c r="C487" s="4">
        <v>42</v>
      </c>
      <c r="D487" s="8">
        <v>2.21</v>
      </c>
      <c r="E487" s="4">
        <v>13</v>
      </c>
      <c r="F487" s="8">
        <v>1.37</v>
      </c>
      <c r="G487" s="4">
        <v>29</v>
      </c>
      <c r="H487" s="8">
        <v>3.07</v>
      </c>
      <c r="I487" s="4">
        <v>0</v>
      </c>
    </row>
    <row r="488" spans="1:9" x14ac:dyDescent="0.2">
      <c r="A488" s="2">
        <v>15</v>
      </c>
      <c r="B488" s="1" t="s">
        <v>116</v>
      </c>
      <c r="C488" s="4">
        <v>41</v>
      </c>
      <c r="D488" s="8">
        <v>2.16</v>
      </c>
      <c r="E488" s="4">
        <v>27</v>
      </c>
      <c r="F488" s="8">
        <v>2.84</v>
      </c>
      <c r="G488" s="4">
        <v>14</v>
      </c>
      <c r="H488" s="8">
        <v>1.48</v>
      </c>
      <c r="I488" s="4">
        <v>0</v>
      </c>
    </row>
    <row r="489" spans="1:9" x14ac:dyDescent="0.2">
      <c r="A489" s="2">
        <v>16</v>
      </c>
      <c r="B489" s="1" t="s">
        <v>113</v>
      </c>
      <c r="C489" s="4">
        <v>35</v>
      </c>
      <c r="D489" s="8">
        <v>1.84</v>
      </c>
      <c r="E489" s="4">
        <v>11</v>
      </c>
      <c r="F489" s="8">
        <v>1.1599999999999999</v>
      </c>
      <c r="G489" s="4">
        <v>24</v>
      </c>
      <c r="H489" s="8">
        <v>2.54</v>
      </c>
      <c r="I489" s="4">
        <v>0</v>
      </c>
    </row>
    <row r="490" spans="1:9" x14ac:dyDescent="0.2">
      <c r="A490" s="2">
        <v>17</v>
      </c>
      <c r="B490" s="1" t="s">
        <v>118</v>
      </c>
      <c r="C490" s="4">
        <v>34</v>
      </c>
      <c r="D490" s="8">
        <v>1.79</v>
      </c>
      <c r="E490" s="4">
        <v>0</v>
      </c>
      <c r="F490" s="8">
        <v>0</v>
      </c>
      <c r="G490" s="4">
        <v>34</v>
      </c>
      <c r="H490" s="8">
        <v>3.6</v>
      </c>
      <c r="I490" s="4">
        <v>0</v>
      </c>
    </row>
    <row r="491" spans="1:9" x14ac:dyDescent="0.2">
      <c r="A491" s="2">
        <v>18</v>
      </c>
      <c r="B491" s="1" t="s">
        <v>107</v>
      </c>
      <c r="C491" s="4">
        <v>27</v>
      </c>
      <c r="D491" s="8">
        <v>1.42</v>
      </c>
      <c r="E491" s="4">
        <v>2</v>
      </c>
      <c r="F491" s="8">
        <v>0.21</v>
      </c>
      <c r="G491" s="4">
        <v>25</v>
      </c>
      <c r="H491" s="8">
        <v>2.65</v>
      </c>
      <c r="I491" s="4">
        <v>0</v>
      </c>
    </row>
    <row r="492" spans="1:9" x14ac:dyDescent="0.2">
      <c r="A492" s="2">
        <v>19</v>
      </c>
      <c r="B492" s="1" t="s">
        <v>101</v>
      </c>
      <c r="C492" s="4">
        <v>24</v>
      </c>
      <c r="D492" s="8">
        <v>1.26</v>
      </c>
      <c r="E492" s="4">
        <v>6</v>
      </c>
      <c r="F492" s="8">
        <v>0.63</v>
      </c>
      <c r="G492" s="4">
        <v>18</v>
      </c>
      <c r="H492" s="8">
        <v>1.91</v>
      </c>
      <c r="I492" s="4">
        <v>0</v>
      </c>
    </row>
    <row r="493" spans="1:9" x14ac:dyDescent="0.2">
      <c r="A493" s="2">
        <v>19</v>
      </c>
      <c r="B493" s="1" t="s">
        <v>102</v>
      </c>
      <c r="C493" s="4">
        <v>24</v>
      </c>
      <c r="D493" s="8">
        <v>1.26</v>
      </c>
      <c r="E493" s="4">
        <v>4</v>
      </c>
      <c r="F493" s="8">
        <v>0.42</v>
      </c>
      <c r="G493" s="4">
        <v>20</v>
      </c>
      <c r="H493" s="8">
        <v>2.12</v>
      </c>
      <c r="I493" s="4">
        <v>0</v>
      </c>
    </row>
    <row r="494" spans="1:9" x14ac:dyDescent="0.2">
      <c r="A494" s="1"/>
      <c r="C494" s="4"/>
      <c r="D494" s="8"/>
      <c r="E494" s="4"/>
      <c r="F494" s="8"/>
      <c r="G494" s="4"/>
      <c r="H494" s="8"/>
      <c r="I494" s="4"/>
    </row>
    <row r="495" spans="1:9" x14ac:dyDescent="0.2">
      <c r="A495" s="1" t="s">
        <v>22</v>
      </c>
      <c r="C495" s="4"/>
      <c r="D495" s="8"/>
      <c r="E495" s="4"/>
      <c r="F495" s="8"/>
      <c r="G495" s="4"/>
      <c r="H495" s="8"/>
      <c r="I495" s="4"/>
    </row>
    <row r="496" spans="1:9" x14ac:dyDescent="0.2">
      <c r="A496" s="2">
        <v>1</v>
      </c>
      <c r="B496" s="1" t="s">
        <v>112</v>
      </c>
      <c r="C496" s="4">
        <v>521</v>
      </c>
      <c r="D496" s="8">
        <v>12.39</v>
      </c>
      <c r="E496" s="4">
        <v>448</v>
      </c>
      <c r="F496" s="8">
        <v>20.29</v>
      </c>
      <c r="G496" s="4">
        <v>73</v>
      </c>
      <c r="H496" s="8">
        <v>3.71</v>
      </c>
      <c r="I496" s="4">
        <v>0</v>
      </c>
    </row>
    <row r="497" spans="1:9" x14ac:dyDescent="0.2">
      <c r="A497" s="2">
        <v>2</v>
      </c>
      <c r="B497" s="1" t="s">
        <v>111</v>
      </c>
      <c r="C497" s="4">
        <v>452</v>
      </c>
      <c r="D497" s="8">
        <v>10.75</v>
      </c>
      <c r="E497" s="4">
        <v>415</v>
      </c>
      <c r="F497" s="8">
        <v>18.8</v>
      </c>
      <c r="G497" s="4">
        <v>37</v>
      </c>
      <c r="H497" s="8">
        <v>1.88</v>
      </c>
      <c r="I497" s="4">
        <v>0</v>
      </c>
    </row>
    <row r="498" spans="1:9" x14ac:dyDescent="0.2">
      <c r="A498" s="2">
        <v>3</v>
      </c>
      <c r="B498" s="1" t="s">
        <v>108</v>
      </c>
      <c r="C498" s="4">
        <v>314</v>
      </c>
      <c r="D498" s="8">
        <v>7.47</v>
      </c>
      <c r="E498" s="4">
        <v>135</v>
      </c>
      <c r="F498" s="8">
        <v>6.11</v>
      </c>
      <c r="G498" s="4">
        <v>179</v>
      </c>
      <c r="H498" s="8">
        <v>9.09</v>
      </c>
      <c r="I498" s="4">
        <v>0</v>
      </c>
    </row>
    <row r="499" spans="1:9" x14ac:dyDescent="0.2">
      <c r="A499" s="2">
        <v>4</v>
      </c>
      <c r="B499" s="1" t="s">
        <v>106</v>
      </c>
      <c r="C499" s="4">
        <v>247</v>
      </c>
      <c r="D499" s="8">
        <v>5.88</v>
      </c>
      <c r="E499" s="4">
        <v>115</v>
      </c>
      <c r="F499" s="8">
        <v>5.21</v>
      </c>
      <c r="G499" s="4">
        <v>132</v>
      </c>
      <c r="H499" s="8">
        <v>6.7</v>
      </c>
      <c r="I499" s="4">
        <v>0</v>
      </c>
    </row>
    <row r="500" spans="1:9" x14ac:dyDescent="0.2">
      <c r="A500" s="2">
        <v>5</v>
      </c>
      <c r="B500" s="1" t="s">
        <v>97</v>
      </c>
      <c r="C500" s="4">
        <v>242</v>
      </c>
      <c r="D500" s="8">
        <v>5.76</v>
      </c>
      <c r="E500" s="4">
        <v>60</v>
      </c>
      <c r="F500" s="8">
        <v>2.72</v>
      </c>
      <c r="G500" s="4">
        <v>182</v>
      </c>
      <c r="H500" s="8">
        <v>9.24</v>
      </c>
      <c r="I500" s="4">
        <v>0</v>
      </c>
    </row>
    <row r="501" spans="1:9" x14ac:dyDescent="0.2">
      <c r="A501" s="2">
        <v>6</v>
      </c>
      <c r="B501" s="1" t="s">
        <v>114</v>
      </c>
      <c r="C501" s="4">
        <v>189</v>
      </c>
      <c r="D501" s="8">
        <v>4.5</v>
      </c>
      <c r="E501" s="4">
        <v>124</v>
      </c>
      <c r="F501" s="8">
        <v>5.62</v>
      </c>
      <c r="G501" s="4">
        <v>49</v>
      </c>
      <c r="H501" s="8">
        <v>2.4900000000000002</v>
      </c>
      <c r="I501" s="4">
        <v>0</v>
      </c>
    </row>
    <row r="502" spans="1:9" x14ac:dyDescent="0.2">
      <c r="A502" s="2">
        <v>7</v>
      </c>
      <c r="B502" s="1" t="s">
        <v>98</v>
      </c>
      <c r="C502" s="4">
        <v>183</v>
      </c>
      <c r="D502" s="8">
        <v>4.3499999999999996</v>
      </c>
      <c r="E502" s="4">
        <v>72</v>
      </c>
      <c r="F502" s="8">
        <v>3.26</v>
      </c>
      <c r="G502" s="4">
        <v>111</v>
      </c>
      <c r="H502" s="8">
        <v>5.64</v>
      </c>
      <c r="I502" s="4">
        <v>0</v>
      </c>
    </row>
    <row r="503" spans="1:9" x14ac:dyDescent="0.2">
      <c r="A503" s="2">
        <v>8</v>
      </c>
      <c r="B503" s="1" t="s">
        <v>115</v>
      </c>
      <c r="C503" s="4">
        <v>165</v>
      </c>
      <c r="D503" s="8">
        <v>3.92</v>
      </c>
      <c r="E503" s="4">
        <v>148</v>
      </c>
      <c r="F503" s="8">
        <v>6.7</v>
      </c>
      <c r="G503" s="4">
        <v>17</v>
      </c>
      <c r="H503" s="8">
        <v>0.86</v>
      </c>
      <c r="I503" s="4">
        <v>0</v>
      </c>
    </row>
    <row r="504" spans="1:9" x14ac:dyDescent="0.2">
      <c r="A504" s="2">
        <v>9</v>
      </c>
      <c r="B504" s="1" t="s">
        <v>104</v>
      </c>
      <c r="C504" s="4">
        <v>150</v>
      </c>
      <c r="D504" s="8">
        <v>3.57</v>
      </c>
      <c r="E504" s="4">
        <v>118</v>
      </c>
      <c r="F504" s="8">
        <v>5.34</v>
      </c>
      <c r="G504" s="4">
        <v>32</v>
      </c>
      <c r="H504" s="8">
        <v>1.63</v>
      </c>
      <c r="I504" s="4">
        <v>0</v>
      </c>
    </row>
    <row r="505" spans="1:9" x14ac:dyDescent="0.2">
      <c r="A505" s="2">
        <v>10</v>
      </c>
      <c r="B505" s="1" t="s">
        <v>105</v>
      </c>
      <c r="C505" s="4">
        <v>137</v>
      </c>
      <c r="D505" s="8">
        <v>3.26</v>
      </c>
      <c r="E505" s="4">
        <v>62</v>
      </c>
      <c r="F505" s="8">
        <v>2.81</v>
      </c>
      <c r="G505" s="4">
        <v>75</v>
      </c>
      <c r="H505" s="8">
        <v>3.81</v>
      </c>
      <c r="I505" s="4">
        <v>0</v>
      </c>
    </row>
    <row r="506" spans="1:9" x14ac:dyDescent="0.2">
      <c r="A506" s="2">
        <v>11</v>
      </c>
      <c r="B506" s="1" t="s">
        <v>109</v>
      </c>
      <c r="C506" s="4">
        <v>133</v>
      </c>
      <c r="D506" s="8">
        <v>3.16</v>
      </c>
      <c r="E506" s="4">
        <v>90</v>
      </c>
      <c r="F506" s="8">
        <v>4.08</v>
      </c>
      <c r="G506" s="4">
        <v>43</v>
      </c>
      <c r="H506" s="8">
        <v>2.1800000000000002</v>
      </c>
      <c r="I506" s="4">
        <v>0</v>
      </c>
    </row>
    <row r="507" spans="1:9" x14ac:dyDescent="0.2">
      <c r="A507" s="2">
        <v>12</v>
      </c>
      <c r="B507" s="1" t="s">
        <v>99</v>
      </c>
      <c r="C507" s="4">
        <v>127</v>
      </c>
      <c r="D507" s="8">
        <v>3.02</v>
      </c>
      <c r="E507" s="4">
        <v>23</v>
      </c>
      <c r="F507" s="8">
        <v>1.04</v>
      </c>
      <c r="G507" s="4">
        <v>104</v>
      </c>
      <c r="H507" s="8">
        <v>5.28</v>
      </c>
      <c r="I507" s="4">
        <v>0</v>
      </c>
    </row>
    <row r="508" spans="1:9" x14ac:dyDescent="0.2">
      <c r="A508" s="2">
        <v>13</v>
      </c>
      <c r="B508" s="1" t="s">
        <v>113</v>
      </c>
      <c r="C508" s="4">
        <v>93</v>
      </c>
      <c r="D508" s="8">
        <v>2.21</v>
      </c>
      <c r="E508" s="4">
        <v>58</v>
      </c>
      <c r="F508" s="8">
        <v>2.63</v>
      </c>
      <c r="G508" s="4">
        <v>35</v>
      </c>
      <c r="H508" s="8">
        <v>1.78</v>
      </c>
      <c r="I508" s="4">
        <v>0</v>
      </c>
    </row>
    <row r="509" spans="1:9" x14ac:dyDescent="0.2">
      <c r="A509" s="2">
        <v>14</v>
      </c>
      <c r="B509" s="1" t="s">
        <v>103</v>
      </c>
      <c r="C509" s="4">
        <v>92</v>
      </c>
      <c r="D509" s="8">
        <v>2.19</v>
      </c>
      <c r="E509" s="4">
        <v>45</v>
      </c>
      <c r="F509" s="8">
        <v>2.04</v>
      </c>
      <c r="G509" s="4">
        <v>47</v>
      </c>
      <c r="H509" s="8">
        <v>2.39</v>
      </c>
      <c r="I509" s="4">
        <v>0</v>
      </c>
    </row>
    <row r="510" spans="1:9" x14ac:dyDescent="0.2">
      <c r="A510" s="2">
        <v>14</v>
      </c>
      <c r="B510" s="1" t="s">
        <v>110</v>
      </c>
      <c r="C510" s="4">
        <v>92</v>
      </c>
      <c r="D510" s="8">
        <v>2.19</v>
      </c>
      <c r="E510" s="4">
        <v>30</v>
      </c>
      <c r="F510" s="8">
        <v>1.36</v>
      </c>
      <c r="G510" s="4">
        <v>59</v>
      </c>
      <c r="H510" s="8">
        <v>3</v>
      </c>
      <c r="I510" s="4">
        <v>0</v>
      </c>
    </row>
    <row r="511" spans="1:9" x14ac:dyDescent="0.2">
      <c r="A511" s="2">
        <v>16</v>
      </c>
      <c r="B511" s="1" t="s">
        <v>116</v>
      </c>
      <c r="C511" s="4">
        <v>69</v>
      </c>
      <c r="D511" s="8">
        <v>1.64</v>
      </c>
      <c r="E511" s="4">
        <v>47</v>
      </c>
      <c r="F511" s="8">
        <v>2.13</v>
      </c>
      <c r="G511" s="4">
        <v>22</v>
      </c>
      <c r="H511" s="8">
        <v>1.1200000000000001</v>
      </c>
      <c r="I511" s="4">
        <v>0</v>
      </c>
    </row>
    <row r="512" spans="1:9" x14ac:dyDescent="0.2">
      <c r="A512" s="2">
        <v>17</v>
      </c>
      <c r="B512" s="1" t="s">
        <v>107</v>
      </c>
      <c r="C512" s="4">
        <v>68</v>
      </c>
      <c r="D512" s="8">
        <v>1.62</v>
      </c>
      <c r="E512" s="4">
        <v>3</v>
      </c>
      <c r="F512" s="8">
        <v>0.14000000000000001</v>
      </c>
      <c r="G512" s="4">
        <v>65</v>
      </c>
      <c r="H512" s="8">
        <v>3.3</v>
      </c>
      <c r="I512" s="4">
        <v>0</v>
      </c>
    </row>
    <row r="513" spans="1:9" x14ac:dyDescent="0.2">
      <c r="A513" s="2">
        <v>18</v>
      </c>
      <c r="B513" s="1" t="s">
        <v>117</v>
      </c>
      <c r="C513" s="4">
        <v>59</v>
      </c>
      <c r="D513" s="8">
        <v>1.4</v>
      </c>
      <c r="E513" s="4">
        <v>6</v>
      </c>
      <c r="F513" s="8">
        <v>0.27</v>
      </c>
      <c r="G513" s="4">
        <v>52</v>
      </c>
      <c r="H513" s="8">
        <v>2.64</v>
      </c>
      <c r="I513" s="4">
        <v>1</v>
      </c>
    </row>
    <row r="514" spans="1:9" x14ac:dyDescent="0.2">
      <c r="A514" s="2">
        <v>19</v>
      </c>
      <c r="B514" s="1" t="s">
        <v>100</v>
      </c>
      <c r="C514" s="4">
        <v>56</v>
      </c>
      <c r="D514" s="8">
        <v>1.33</v>
      </c>
      <c r="E514" s="4">
        <v>16</v>
      </c>
      <c r="F514" s="8">
        <v>0.72</v>
      </c>
      <c r="G514" s="4">
        <v>40</v>
      </c>
      <c r="H514" s="8">
        <v>2.0299999999999998</v>
      </c>
      <c r="I514" s="4">
        <v>0</v>
      </c>
    </row>
    <row r="515" spans="1:9" x14ac:dyDescent="0.2">
      <c r="A515" s="2">
        <v>20</v>
      </c>
      <c r="B515" s="1" t="s">
        <v>101</v>
      </c>
      <c r="C515" s="4">
        <v>53</v>
      </c>
      <c r="D515" s="8">
        <v>1.26</v>
      </c>
      <c r="E515" s="4">
        <v>9</v>
      </c>
      <c r="F515" s="8">
        <v>0.41</v>
      </c>
      <c r="G515" s="4">
        <v>44</v>
      </c>
      <c r="H515" s="8">
        <v>2.23</v>
      </c>
      <c r="I515" s="4">
        <v>0</v>
      </c>
    </row>
    <row r="516" spans="1:9" x14ac:dyDescent="0.2">
      <c r="A516" s="2">
        <v>20</v>
      </c>
      <c r="B516" s="1" t="s">
        <v>102</v>
      </c>
      <c r="C516" s="4">
        <v>53</v>
      </c>
      <c r="D516" s="8">
        <v>1.26</v>
      </c>
      <c r="E516" s="4">
        <v>8</v>
      </c>
      <c r="F516" s="8">
        <v>0.36</v>
      </c>
      <c r="G516" s="4">
        <v>45</v>
      </c>
      <c r="H516" s="8">
        <v>2.29</v>
      </c>
      <c r="I516" s="4">
        <v>0</v>
      </c>
    </row>
    <row r="517" spans="1:9" x14ac:dyDescent="0.2">
      <c r="A517" s="1"/>
      <c r="C517" s="4"/>
      <c r="D517" s="8"/>
      <c r="E517" s="4"/>
      <c r="F517" s="8"/>
      <c r="G517" s="4"/>
      <c r="H517" s="8"/>
      <c r="I517" s="4"/>
    </row>
    <row r="518" spans="1:9" x14ac:dyDescent="0.2">
      <c r="A518" s="1" t="s">
        <v>23</v>
      </c>
      <c r="C518" s="4"/>
      <c r="D518" s="8"/>
      <c r="E518" s="4"/>
      <c r="F518" s="8"/>
      <c r="G518" s="4"/>
      <c r="H518" s="8"/>
      <c r="I518" s="4"/>
    </row>
    <row r="519" spans="1:9" x14ac:dyDescent="0.2">
      <c r="A519" s="2">
        <v>1</v>
      </c>
      <c r="B519" s="1" t="s">
        <v>112</v>
      </c>
      <c r="C519" s="4">
        <v>266</v>
      </c>
      <c r="D519" s="8">
        <v>10.29</v>
      </c>
      <c r="E519" s="4">
        <v>219</v>
      </c>
      <c r="F519" s="8">
        <v>17.510000000000002</v>
      </c>
      <c r="G519" s="4">
        <v>47</v>
      </c>
      <c r="H519" s="8">
        <v>3.58</v>
      </c>
      <c r="I519" s="4">
        <v>0</v>
      </c>
    </row>
    <row r="520" spans="1:9" x14ac:dyDescent="0.2">
      <c r="A520" s="2">
        <v>2</v>
      </c>
      <c r="B520" s="1" t="s">
        <v>111</v>
      </c>
      <c r="C520" s="4">
        <v>258</v>
      </c>
      <c r="D520" s="8">
        <v>9.98</v>
      </c>
      <c r="E520" s="4">
        <v>220</v>
      </c>
      <c r="F520" s="8">
        <v>17.59</v>
      </c>
      <c r="G520" s="4">
        <v>38</v>
      </c>
      <c r="H520" s="8">
        <v>2.89</v>
      </c>
      <c r="I520" s="4">
        <v>0</v>
      </c>
    </row>
    <row r="521" spans="1:9" x14ac:dyDescent="0.2">
      <c r="A521" s="2">
        <v>3</v>
      </c>
      <c r="B521" s="1" t="s">
        <v>108</v>
      </c>
      <c r="C521" s="4">
        <v>218</v>
      </c>
      <c r="D521" s="8">
        <v>8.44</v>
      </c>
      <c r="E521" s="4">
        <v>84</v>
      </c>
      <c r="F521" s="8">
        <v>6.71</v>
      </c>
      <c r="G521" s="4">
        <v>131</v>
      </c>
      <c r="H521" s="8">
        <v>9.9700000000000006</v>
      </c>
      <c r="I521" s="4">
        <v>2</v>
      </c>
    </row>
    <row r="522" spans="1:9" x14ac:dyDescent="0.2">
      <c r="A522" s="2">
        <v>4</v>
      </c>
      <c r="B522" s="1" t="s">
        <v>97</v>
      </c>
      <c r="C522" s="4">
        <v>151</v>
      </c>
      <c r="D522" s="8">
        <v>5.84</v>
      </c>
      <c r="E522" s="4">
        <v>34</v>
      </c>
      <c r="F522" s="8">
        <v>2.72</v>
      </c>
      <c r="G522" s="4">
        <v>117</v>
      </c>
      <c r="H522" s="8">
        <v>8.9</v>
      </c>
      <c r="I522" s="4">
        <v>0</v>
      </c>
    </row>
    <row r="523" spans="1:9" x14ac:dyDescent="0.2">
      <c r="A523" s="2">
        <v>5</v>
      </c>
      <c r="B523" s="1" t="s">
        <v>104</v>
      </c>
      <c r="C523" s="4">
        <v>140</v>
      </c>
      <c r="D523" s="8">
        <v>5.42</v>
      </c>
      <c r="E523" s="4">
        <v>91</v>
      </c>
      <c r="F523" s="8">
        <v>7.27</v>
      </c>
      <c r="G523" s="4">
        <v>49</v>
      </c>
      <c r="H523" s="8">
        <v>3.73</v>
      </c>
      <c r="I523" s="4">
        <v>0</v>
      </c>
    </row>
    <row r="524" spans="1:9" x14ac:dyDescent="0.2">
      <c r="A524" s="2">
        <v>6</v>
      </c>
      <c r="B524" s="1" t="s">
        <v>106</v>
      </c>
      <c r="C524" s="4">
        <v>129</v>
      </c>
      <c r="D524" s="8">
        <v>4.99</v>
      </c>
      <c r="E524" s="4">
        <v>50</v>
      </c>
      <c r="F524" s="8">
        <v>4</v>
      </c>
      <c r="G524" s="4">
        <v>79</v>
      </c>
      <c r="H524" s="8">
        <v>6.01</v>
      </c>
      <c r="I524" s="4">
        <v>0</v>
      </c>
    </row>
    <row r="525" spans="1:9" x14ac:dyDescent="0.2">
      <c r="A525" s="2">
        <v>7</v>
      </c>
      <c r="B525" s="1" t="s">
        <v>98</v>
      </c>
      <c r="C525" s="4">
        <v>123</v>
      </c>
      <c r="D525" s="8">
        <v>4.76</v>
      </c>
      <c r="E525" s="4">
        <v>42</v>
      </c>
      <c r="F525" s="8">
        <v>3.36</v>
      </c>
      <c r="G525" s="4">
        <v>81</v>
      </c>
      <c r="H525" s="8">
        <v>6.16</v>
      </c>
      <c r="I525" s="4">
        <v>0</v>
      </c>
    </row>
    <row r="526" spans="1:9" x14ac:dyDescent="0.2">
      <c r="A526" s="2">
        <v>8</v>
      </c>
      <c r="B526" s="1" t="s">
        <v>99</v>
      </c>
      <c r="C526" s="4">
        <v>117</v>
      </c>
      <c r="D526" s="8">
        <v>4.53</v>
      </c>
      <c r="E526" s="4">
        <v>23</v>
      </c>
      <c r="F526" s="8">
        <v>1.84</v>
      </c>
      <c r="G526" s="4">
        <v>94</v>
      </c>
      <c r="H526" s="8">
        <v>7.15</v>
      </c>
      <c r="I526" s="4">
        <v>0</v>
      </c>
    </row>
    <row r="527" spans="1:9" x14ac:dyDescent="0.2">
      <c r="A527" s="2">
        <v>9</v>
      </c>
      <c r="B527" s="1" t="s">
        <v>115</v>
      </c>
      <c r="C527" s="4">
        <v>112</v>
      </c>
      <c r="D527" s="8">
        <v>4.33</v>
      </c>
      <c r="E527" s="4">
        <v>97</v>
      </c>
      <c r="F527" s="8">
        <v>7.75</v>
      </c>
      <c r="G527" s="4">
        <v>14</v>
      </c>
      <c r="H527" s="8">
        <v>1.07</v>
      </c>
      <c r="I527" s="4">
        <v>1</v>
      </c>
    </row>
    <row r="528" spans="1:9" x14ac:dyDescent="0.2">
      <c r="A528" s="2">
        <v>10</v>
      </c>
      <c r="B528" s="1" t="s">
        <v>114</v>
      </c>
      <c r="C528" s="4">
        <v>110</v>
      </c>
      <c r="D528" s="8">
        <v>4.26</v>
      </c>
      <c r="E528" s="4">
        <v>90</v>
      </c>
      <c r="F528" s="8">
        <v>7.19</v>
      </c>
      <c r="G528" s="4">
        <v>17</v>
      </c>
      <c r="H528" s="8">
        <v>1.29</v>
      </c>
      <c r="I528" s="4">
        <v>1</v>
      </c>
    </row>
    <row r="529" spans="1:9" x14ac:dyDescent="0.2">
      <c r="A529" s="2">
        <v>11</v>
      </c>
      <c r="B529" s="1" t="s">
        <v>109</v>
      </c>
      <c r="C529" s="4">
        <v>76</v>
      </c>
      <c r="D529" s="8">
        <v>2.94</v>
      </c>
      <c r="E529" s="4">
        <v>50</v>
      </c>
      <c r="F529" s="8">
        <v>4</v>
      </c>
      <c r="G529" s="4">
        <v>25</v>
      </c>
      <c r="H529" s="8">
        <v>1.9</v>
      </c>
      <c r="I529" s="4">
        <v>1</v>
      </c>
    </row>
    <row r="530" spans="1:9" x14ac:dyDescent="0.2">
      <c r="A530" s="2">
        <v>12</v>
      </c>
      <c r="B530" s="1" t="s">
        <v>105</v>
      </c>
      <c r="C530" s="4">
        <v>75</v>
      </c>
      <c r="D530" s="8">
        <v>2.9</v>
      </c>
      <c r="E530" s="4">
        <v>33</v>
      </c>
      <c r="F530" s="8">
        <v>2.64</v>
      </c>
      <c r="G530" s="4">
        <v>42</v>
      </c>
      <c r="H530" s="8">
        <v>3.2</v>
      </c>
      <c r="I530" s="4">
        <v>0</v>
      </c>
    </row>
    <row r="531" spans="1:9" x14ac:dyDescent="0.2">
      <c r="A531" s="2">
        <v>13</v>
      </c>
      <c r="B531" s="1" t="s">
        <v>110</v>
      </c>
      <c r="C531" s="4">
        <v>65</v>
      </c>
      <c r="D531" s="8">
        <v>2.52</v>
      </c>
      <c r="E531" s="4">
        <v>24</v>
      </c>
      <c r="F531" s="8">
        <v>1.92</v>
      </c>
      <c r="G531" s="4">
        <v>41</v>
      </c>
      <c r="H531" s="8">
        <v>3.12</v>
      </c>
      <c r="I531" s="4">
        <v>0</v>
      </c>
    </row>
    <row r="532" spans="1:9" x14ac:dyDescent="0.2">
      <c r="A532" s="2">
        <v>14</v>
      </c>
      <c r="B532" s="1" t="s">
        <v>103</v>
      </c>
      <c r="C532" s="4">
        <v>51</v>
      </c>
      <c r="D532" s="8">
        <v>1.97</v>
      </c>
      <c r="E532" s="4">
        <v>27</v>
      </c>
      <c r="F532" s="8">
        <v>2.16</v>
      </c>
      <c r="G532" s="4">
        <v>24</v>
      </c>
      <c r="H532" s="8">
        <v>1.83</v>
      </c>
      <c r="I532" s="4">
        <v>0</v>
      </c>
    </row>
    <row r="533" spans="1:9" x14ac:dyDescent="0.2">
      <c r="A533" s="2">
        <v>15</v>
      </c>
      <c r="B533" s="1" t="s">
        <v>113</v>
      </c>
      <c r="C533" s="4">
        <v>45</v>
      </c>
      <c r="D533" s="8">
        <v>1.74</v>
      </c>
      <c r="E533" s="4">
        <v>21</v>
      </c>
      <c r="F533" s="8">
        <v>1.68</v>
      </c>
      <c r="G533" s="4">
        <v>23</v>
      </c>
      <c r="H533" s="8">
        <v>1.75</v>
      </c>
      <c r="I533" s="4">
        <v>1</v>
      </c>
    </row>
    <row r="534" spans="1:9" x14ac:dyDescent="0.2">
      <c r="A534" s="2">
        <v>16</v>
      </c>
      <c r="B534" s="1" t="s">
        <v>118</v>
      </c>
      <c r="C534" s="4">
        <v>39</v>
      </c>
      <c r="D534" s="8">
        <v>1.51</v>
      </c>
      <c r="E534" s="4">
        <v>0</v>
      </c>
      <c r="F534" s="8">
        <v>0</v>
      </c>
      <c r="G534" s="4">
        <v>35</v>
      </c>
      <c r="H534" s="8">
        <v>2.66</v>
      </c>
      <c r="I534" s="4">
        <v>0</v>
      </c>
    </row>
    <row r="535" spans="1:9" x14ac:dyDescent="0.2">
      <c r="A535" s="2">
        <v>17</v>
      </c>
      <c r="B535" s="1" t="s">
        <v>116</v>
      </c>
      <c r="C535" s="4">
        <v>38</v>
      </c>
      <c r="D535" s="8">
        <v>1.47</v>
      </c>
      <c r="E535" s="4">
        <v>21</v>
      </c>
      <c r="F535" s="8">
        <v>1.68</v>
      </c>
      <c r="G535" s="4">
        <v>17</v>
      </c>
      <c r="H535" s="8">
        <v>1.29</v>
      </c>
      <c r="I535" s="4">
        <v>0</v>
      </c>
    </row>
    <row r="536" spans="1:9" x14ac:dyDescent="0.2">
      <c r="A536" s="2">
        <v>18</v>
      </c>
      <c r="B536" s="1" t="s">
        <v>101</v>
      </c>
      <c r="C536" s="4">
        <v>33</v>
      </c>
      <c r="D536" s="8">
        <v>1.28</v>
      </c>
      <c r="E536" s="4">
        <v>9</v>
      </c>
      <c r="F536" s="8">
        <v>0.72</v>
      </c>
      <c r="G536" s="4">
        <v>24</v>
      </c>
      <c r="H536" s="8">
        <v>1.83</v>
      </c>
      <c r="I536" s="4">
        <v>0</v>
      </c>
    </row>
    <row r="537" spans="1:9" x14ac:dyDescent="0.2">
      <c r="A537" s="2">
        <v>18</v>
      </c>
      <c r="B537" s="1" t="s">
        <v>107</v>
      </c>
      <c r="C537" s="4">
        <v>33</v>
      </c>
      <c r="D537" s="8">
        <v>1.28</v>
      </c>
      <c r="E537" s="4">
        <v>3</v>
      </c>
      <c r="F537" s="8">
        <v>0.24</v>
      </c>
      <c r="G537" s="4">
        <v>30</v>
      </c>
      <c r="H537" s="8">
        <v>2.2799999999999998</v>
      </c>
      <c r="I537" s="4">
        <v>0</v>
      </c>
    </row>
    <row r="538" spans="1:9" x14ac:dyDescent="0.2">
      <c r="A538" s="2">
        <v>20</v>
      </c>
      <c r="B538" s="1" t="s">
        <v>102</v>
      </c>
      <c r="C538" s="4">
        <v>28</v>
      </c>
      <c r="D538" s="8">
        <v>1.08</v>
      </c>
      <c r="E538" s="4">
        <v>1</v>
      </c>
      <c r="F538" s="8">
        <v>0.08</v>
      </c>
      <c r="G538" s="4">
        <v>27</v>
      </c>
      <c r="H538" s="8">
        <v>2.0499999999999998</v>
      </c>
      <c r="I538" s="4">
        <v>0</v>
      </c>
    </row>
    <row r="539" spans="1:9" x14ac:dyDescent="0.2">
      <c r="A539" s="1"/>
      <c r="C539" s="4"/>
      <c r="D539" s="8"/>
      <c r="E539" s="4"/>
      <c r="F539" s="8"/>
      <c r="G539" s="4"/>
      <c r="H539" s="8"/>
      <c r="I539" s="4"/>
    </row>
    <row r="540" spans="1:9" x14ac:dyDescent="0.2">
      <c r="A540" s="1" t="s">
        <v>24</v>
      </c>
      <c r="C540" s="4"/>
      <c r="D540" s="8"/>
      <c r="E540" s="4"/>
      <c r="F540" s="8"/>
      <c r="G540" s="4"/>
      <c r="H540" s="8"/>
      <c r="I540" s="4"/>
    </row>
    <row r="541" spans="1:9" x14ac:dyDescent="0.2">
      <c r="A541" s="2">
        <v>1</v>
      </c>
      <c r="B541" s="1" t="s">
        <v>112</v>
      </c>
      <c r="C541" s="4">
        <v>121</v>
      </c>
      <c r="D541" s="8">
        <v>10.220000000000001</v>
      </c>
      <c r="E541" s="4">
        <v>110</v>
      </c>
      <c r="F541" s="8">
        <v>17.11</v>
      </c>
      <c r="G541" s="4">
        <v>11</v>
      </c>
      <c r="H541" s="8">
        <v>2.0699999999999998</v>
      </c>
      <c r="I541" s="4">
        <v>0</v>
      </c>
    </row>
    <row r="542" spans="1:9" x14ac:dyDescent="0.2">
      <c r="A542" s="2">
        <v>2</v>
      </c>
      <c r="B542" s="1" t="s">
        <v>111</v>
      </c>
      <c r="C542" s="4">
        <v>104</v>
      </c>
      <c r="D542" s="8">
        <v>8.7799999999999994</v>
      </c>
      <c r="E542" s="4">
        <v>91</v>
      </c>
      <c r="F542" s="8">
        <v>14.15</v>
      </c>
      <c r="G542" s="4">
        <v>13</v>
      </c>
      <c r="H542" s="8">
        <v>2.44</v>
      </c>
      <c r="I542" s="4">
        <v>0</v>
      </c>
    </row>
    <row r="543" spans="1:9" x14ac:dyDescent="0.2">
      <c r="A543" s="2">
        <v>3</v>
      </c>
      <c r="B543" s="1" t="s">
        <v>106</v>
      </c>
      <c r="C543" s="4">
        <v>82</v>
      </c>
      <c r="D543" s="8">
        <v>6.93</v>
      </c>
      <c r="E543" s="4">
        <v>40</v>
      </c>
      <c r="F543" s="8">
        <v>6.22</v>
      </c>
      <c r="G543" s="4">
        <v>42</v>
      </c>
      <c r="H543" s="8">
        <v>7.89</v>
      </c>
      <c r="I543" s="4">
        <v>0</v>
      </c>
    </row>
    <row r="544" spans="1:9" x14ac:dyDescent="0.2">
      <c r="A544" s="2">
        <v>4</v>
      </c>
      <c r="B544" s="1" t="s">
        <v>97</v>
      </c>
      <c r="C544" s="4">
        <v>71</v>
      </c>
      <c r="D544" s="8">
        <v>6</v>
      </c>
      <c r="E544" s="4">
        <v>38</v>
      </c>
      <c r="F544" s="8">
        <v>5.91</v>
      </c>
      <c r="G544" s="4">
        <v>33</v>
      </c>
      <c r="H544" s="8">
        <v>6.2</v>
      </c>
      <c r="I544" s="4">
        <v>0</v>
      </c>
    </row>
    <row r="545" spans="1:9" x14ac:dyDescent="0.2">
      <c r="A545" s="2">
        <v>5</v>
      </c>
      <c r="B545" s="1" t="s">
        <v>108</v>
      </c>
      <c r="C545" s="4">
        <v>67</v>
      </c>
      <c r="D545" s="8">
        <v>5.66</v>
      </c>
      <c r="E545" s="4">
        <v>30</v>
      </c>
      <c r="F545" s="8">
        <v>4.67</v>
      </c>
      <c r="G545" s="4">
        <v>37</v>
      </c>
      <c r="H545" s="8">
        <v>6.95</v>
      </c>
      <c r="I545" s="4">
        <v>0</v>
      </c>
    </row>
    <row r="546" spans="1:9" x14ac:dyDescent="0.2">
      <c r="A546" s="2">
        <v>6</v>
      </c>
      <c r="B546" s="1" t="s">
        <v>127</v>
      </c>
      <c r="C546" s="4">
        <v>64</v>
      </c>
      <c r="D546" s="8">
        <v>5.41</v>
      </c>
      <c r="E546" s="4">
        <v>26</v>
      </c>
      <c r="F546" s="8">
        <v>4.04</v>
      </c>
      <c r="G546" s="4">
        <v>38</v>
      </c>
      <c r="H546" s="8">
        <v>7.14</v>
      </c>
      <c r="I546" s="4">
        <v>0</v>
      </c>
    </row>
    <row r="547" spans="1:9" x14ac:dyDescent="0.2">
      <c r="A547" s="2">
        <v>7</v>
      </c>
      <c r="B547" s="1" t="s">
        <v>98</v>
      </c>
      <c r="C547" s="4">
        <v>62</v>
      </c>
      <c r="D547" s="8">
        <v>5.24</v>
      </c>
      <c r="E547" s="4">
        <v>31</v>
      </c>
      <c r="F547" s="8">
        <v>4.82</v>
      </c>
      <c r="G547" s="4">
        <v>31</v>
      </c>
      <c r="H547" s="8">
        <v>5.83</v>
      </c>
      <c r="I547" s="4">
        <v>0</v>
      </c>
    </row>
    <row r="548" spans="1:9" x14ac:dyDescent="0.2">
      <c r="A548" s="2">
        <v>8</v>
      </c>
      <c r="B548" s="1" t="s">
        <v>105</v>
      </c>
      <c r="C548" s="4">
        <v>52</v>
      </c>
      <c r="D548" s="8">
        <v>4.3899999999999997</v>
      </c>
      <c r="E548" s="4">
        <v>30</v>
      </c>
      <c r="F548" s="8">
        <v>4.67</v>
      </c>
      <c r="G548" s="4">
        <v>22</v>
      </c>
      <c r="H548" s="8">
        <v>4.1399999999999997</v>
      </c>
      <c r="I548" s="4">
        <v>0</v>
      </c>
    </row>
    <row r="549" spans="1:9" x14ac:dyDescent="0.2">
      <c r="A549" s="2">
        <v>9</v>
      </c>
      <c r="B549" s="1" t="s">
        <v>103</v>
      </c>
      <c r="C549" s="4">
        <v>44</v>
      </c>
      <c r="D549" s="8">
        <v>3.72</v>
      </c>
      <c r="E549" s="4">
        <v>11</v>
      </c>
      <c r="F549" s="8">
        <v>1.71</v>
      </c>
      <c r="G549" s="4">
        <v>33</v>
      </c>
      <c r="H549" s="8">
        <v>6.2</v>
      </c>
      <c r="I549" s="4">
        <v>0</v>
      </c>
    </row>
    <row r="550" spans="1:9" x14ac:dyDescent="0.2">
      <c r="A550" s="2">
        <v>10</v>
      </c>
      <c r="B550" s="1" t="s">
        <v>104</v>
      </c>
      <c r="C550" s="4">
        <v>43</v>
      </c>
      <c r="D550" s="8">
        <v>3.63</v>
      </c>
      <c r="E550" s="4">
        <v>36</v>
      </c>
      <c r="F550" s="8">
        <v>5.6</v>
      </c>
      <c r="G550" s="4">
        <v>7</v>
      </c>
      <c r="H550" s="8">
        <v>1.32</v>
      </c>
      <c r="I550" s="4">
        <v>0</v>
      </c>
    </row>
    <row r="551" spans="1:9" x14ac:dyDescent="0.2">
      <c r="A551" s="2">
        <v>11</v>
      </c>
      <c r="B551" s="1" t="s">
        <v>114</v>
      </c>
      <c r="C551" s="4">
        <v>34</v>
      </c>
      <c r="D551" s="8">
        <v>2.87</v>
      </c>
      <c r="E551" s="4">
        <v>28</v>
      </c>
      <c r="F551" s="8">
        <v>4.3499999999999996</v>
      </c>
      <c r="G551" s="4">
        <v>6</v>
      </c>
      <c r="H551" s="8">
        <v>1.1299999999999999</v>
      </c>
      <c r="I551" s="4">
        <v>0</v>
      </c>
    </row>
    <row r="552" spans="1:9" x14ac:dyDescent="0.2">
      <c r="A552" s="2">
        <v>12</v>
      </c>
      <c r="B552" s="1" t="s">
        <v>115</v>
      </c>
      <c r="C552" s="4">
        <v>32</v>
      </c>
      <c r="D552" s="8">
        <v>2.7</v>
      </c>
      <c r="E552" s="4">
        <v>29</v>
      </c>
      <c r="F552" s="8">
        <v>4.51</v>
      </c>
      <c r="G552" s="4">
        <v>3</v>
      </c>
      <c r="H552" s="8">
        <v>0.56000000000000005</v>
      </c>
      <c r="I552" s="4">
        <v>0</v>
      </c>
    </row>
    <row r="553" spans="1:9" x14ac:dyDescent="0.2">
      <c r="A553" s="2">
        <v>13</v>
      </c>
      <c r="B553" s="1" t="s">
        <v>99</v>
      </c>
      <c r="C553" s="4">
        <v>27</v>
      </c>
      <c r="D553" s="8">
        <v>2.2799999999999998</v>
      </c>
      <c r="E553" s="4">
        <v>7</v>
      </c>
      <c r="F553" s="8">
        <v>1.0900000000000001</v>
      </c>
      <c r="G553" s="4">
        <v>20</v>
      </c>
      <c r="H553" s="8">
        <v>3.76</v>
      </c>
      <c r="I553" s="4">
        <v>0</v>
      </c>
    </row>
    <row r="554" spans="1:9" x14ac:dyDescent="0.2">
      <c r="A554" s="2">
        <v>14</v>
      </c>
      <c r="B554" s="1" t="s">
        <v>100</v>
      </c>
      <c r="C554" s="4">
        <v>26</v>
      </c>
      <c r="D554" s="8">
        <v>2.2000000000000002</v>
      </c>
      <c r="E554" s="4">
        <v>8</v>
      </c>
      <c r="F554" s="8">
        <v>1.24</v>
      </c>
      <c r="G554" s="4">
        <v>18</v>
      </c>
      <c r="H554" s="8">
        <v>3.38</v>
      </c>
      <c r="I554" s="4">
        <v>0</v>
      </c>
    </row>
    <row r="555" spans="1:9" x14ac:dyDescent="0.2">
      <c r="A555" s="2">
        <v>15</v>
      </c>
      <c r="B555" s="1" t="s">
        <v>102</v>
      </c>
      <c r="C555" s="4">
        <v>23</v>
      </c>
      <c r="D555" s="8">
        <v>1.94</v>
      </c>
      <c r="E555" s="4">
        <v>2</v>
      </c>
      <c r="F555" s="8">
        <v>0.31</v>
      </c>
      <c r="G555" s="4">
        <v>21</v>
      </c>
      <c r="H555" s="8">
        <v>3.95</v>
      </c>
      <c r="I555" s="4">
        <v>0</v>
      </c>
    </row>
    <row r="556" spans="1:9" x14ac:dyDescent="0.2">
      <c r="A556" s="2">
        <v>16</v>
      </c>
      <c r="B556" s="1" t="s">
        <v>109</v>
      </c>
      <c r="C556" s="4">
        <v>21</v>
      </c>
      <c r="D556" s="8">
        <v>1.77</v>
      </c>
      <c r="E556" s="4">
        <v>13</v>
      </c>
      <c r="F556" s="8">
        <v>2.02</v>
      </c>
      <c r="G556" s="4">
        <v>8</v>
      </c>
      <c r="H556" s="8">
        <v>1.5</v>
      </c>
      <c r="I556" s="4">
        <v>0</v>
      </c>
    </row>
    <row r="557" spans="1:9" x14ac:dyDescent="0.2">
      <c r="A557" s="2">
        <v>16</v>
      </c>
      <c r="B557" s="1" t="s">
        <v>118</v>
      </c>
      <c r="C557" s="4">
        <v>21</v>
      </c>
      <c r="D557" s="8">
        <v>1.77</v>
      </c>
      <c r="E557" s="4">
        <v>0</v>
      </c>
      <c r="F557" s="8">
        <v>0</v>
      </c>
      <c r="G557" s="4">
        <v>16</v>
      </c>
      <c r="H557" s="8">
        <v>3.01</v>
      </c>
      <c r="I557" s="4">
        <v>0</v>
      </c>
    </row>
    <row r="558" spans="1:9" x14ac:dyDescent="0.2">
      <c r="A558" s="2">
        <v>18</v>
      </c>
      <c r="B558" s="1" t="s">
        <v>113</v>
      </c>
      <c r="C558" s="4">
        <v>20</v>
      </c>
      <c r="D558" s="8">
        <v>1.69</v>
      </c>
      <c r="E558" s="4">
        <v>14</v>
      </c>
      <c r="F558" s="8">
        <v>2.1800000000000002</v>
      </c>
      <c r="G558" s="4">
        <v>6</v>
      </c>
      <c r="H558" s="8">
        <v>1.1299999999999999</v>
      </c>
      <c r="I558" s="4">
        <v>0</v>
      </c>
    </row>
    <row r="559" spans="1:9" x14ac:dyDescent="0.2">
      <c r="A559" s="2">
        <v>19</v>
      </c>
      <c r="B559" s="1" t="s">
        <v>101</v>
      </c>
      <c r="C559" s="4">
        <v>16</v>
      </c>
      <c r="D559" s="8">
        <v>1.35</v>
      </c>
      <c r="E559" s="4">
        <v>2</v>
      </c>
      <c r="F559" s="8">
        <v>0.31</v>
      </c>
      <c r="G559" s="4">
        <v>14</v>
      </c>
      <c r="H559" s="8">
        <v>2.63</v>
      </c>
      <c r="I559" s="4">
        <v>0</v>
      </c>
    </row>
    <row r="560" spans="1:9" x14ac:dyDescent="0.2">
      <c r="A560" s="2">
        <v>19</v>
      </c>
      <c r="B560" s="1" t="s">
        <v>110</v>
      </c>
      <c r="C560" s="4">
        <v>16</v>
      </c>
      <c r="D560" s="8">
        <v>1.35</v>
      </c>
      <c r="E560" s="4">
        <v>5</v>
      </c>
      <c r="F560" s="8">
        <v>0.78</v>
      </c>
      <c r="G560" s="4">
        <v>10</v>
      </c>
      <c r="H560" s="8">
        <v>1.88</v>
      </c>
      <c r="I560" s="4">
        <v>0</v>
      </c>
    </row>
    <row r="561" spans="1:9" x14ac:dyDescent="0.2">
      <c r="A561" s="2">
        <v>19</v>
      </c>
      <c r="B561" s="1" t="s">
        <v>116</v>
      </c>
      <c r="C561" s="4">
        <v>16</v>
      </c>
      <c r="D561" s="8">
        <v>1.35</v>
      </c>
      <c r="E561" s="4">
        <v>12</v>
      </c>
      <c r="F561" s="8">
        <v>1.87</v>
      </c>
      <c r="G561" s="4">
        <v>4</v>
      </c>
      <c r="H561" s="8">
        <v>0.75</v>
      </c>
      <c r="I561" s="4">
        <v>0</v>
      </c>
    </row>
    <row r="562" spans="1:9" x14ac:dyDescent="0.2">
      <c r="A562" s="1"/>
      <c r="C562" s="4"/>
      <c r="D562" s="8"/>
      <c r="E562" s="4"/>
      <c r="F562" s="8"/>
      <c r="G562" s="4"/>
      <c r="H562" s="8"/>
      <c r="I562" s="4"/>
    </row>
    <row r="563" spans="1:9" x14ac:dyDescent="0.2">
      <c r="A563" s="1" t="s">
        <v>25</v>
      </c>
      <c r="C563" s="4"/>
      <c r="D563" s="8"/>
      <c r="E563" s="4"/>
      <c r="F563" s="8"/>
      <c r="G563" s="4"/>
      <c r="H563" s="8"/>
      <c r="I563" s="4"/>
    </row>
    <row r="564" spans="1:9" x14ac:dyDescent="0.2">
      <c r="A564" s="2">
        <v>1</v>
      </c>
      <c r="B564" s="1" t="s">
        <v>112</v>
      </c>
      <c r="C564" s="4">
        <v>242</v>
      </c>
      <c r="D564" s="8">
        <v>12.35</v>
      </c>
      <c r="E564" s="4">
        <v>204</v>
      </c>
      <c r="F564" s="8">
        <v>20.92</v>
      </c>
      <c r="G564" s="4">
        <v>38</v>
      </c>
      <c r="H564" s="8">
        <v>3.91</v>
      </c>
      <c r="I564" s="4">
        <v>0</v>
      </c>
    </row>
    <row r="565" spans="1:9" x14ac:dyDescent="0.2">
      <c r="A565" s="2">
        <v>2</v>
      </c>
      <c r="B565" s="1" t="s">
        <v>108</v>
      </c>
      <c r="C565" s="4">
        <v>157</v>
      </c>
      <c r="D565" s="8">
        <v>8.01</v>
      </c>
      <c r="E565" s="4">
        <v>90</v>
      </c>
      <c r="F565" s="8">
        <v>9.23</v>
      </c>
      <c r="G565" s="4">
        <v>66</v>
      </c>
      <c r="H565" s="8">
        <v>6.79</v>
      </c>
      <c r="I565" s="4">
        <v>0</v>
      </c>
    </row>
    <row r="566" spans="1:9" x14ac:dyDescent="0.2">
      <c r="A566" s="2">
        <v>3</v>
      </c>
      <c r="B566" s="1" t="s">
        <v>111</v>
      </c>
      <c r="C566" s="4">
        <v>135</v>
      </c>
      <c r="D566" s="8">
        <v>6.89</v>
      </c>
      <c r="E566" s="4">
        <v>119</v>
      </c>
      <c r="F566" s="8">
        <v>12.21</v>
      </c>
      <c r="G566" s="4">
        <v>16</v>
      </c>
      <c r="H566" s="8">
        <v>1.65</v>
      </c>
      <c r="I566" s="4">
        <v>0</v>
      </c>
    </row>
    <row r="567" spans="1:9" x14ac:dyDescent="0.2">
      <c r="A567" s="2">
        <v>4</v>
      </c>
      <c r="B567" s="1" t="s">
        <v>97</v>
      </c>
      <c r="C567" s="4">
        <v>131</v>
      </c>
      <c r="D567" s="8">
        <v>6.69</v>
      </c>
      <c r="E567" s="4">
        <v>31</v>
      </c>
      <c r="F567" s="8">
        <v>3.18</v>
      </c>
      <c r="G567" s="4">
        <v>100</v>
      </c>
      <c r="H567" s="8">
        <v>10.29</v>
      </c>
      <c r="I567" s="4">
        <v>0</v>
      </c>
    </row>
    <row r="568" spans="1:9" x14ac:dyDescent="0.2">
      <c r="A568" s="2">
        <v>5</v>
      </c>
      <c r="B568" s="1" t="s">
        <v>106</v>
      </c>
      <c r="C568" s="4">
        <v>129</v>
      </c>
      <c r="D568" s="8">
        <v>6.58</v>
      </c>
      <c r="E568" s="4">
        <v>62</v>
      </c>
      <c r="F568" s="8">
        <v>6.36</v>
      </c>
      <c r="G568" s="4">
        <v>67</v>
      </c>
      <c r="H568" s="8">
        <v>6.89</v>
      </c>
      <c r="I568" s="4">
        <v>0</v>
      </c>
    </row>
    <row r="569" spans="1:9" x14ac:dyDescent="0.2">
      <c r="A569" s="2">
        <v>6</v>
      </c>
      <c r="B569" s="1" t="s">
        <v>98</v>
      </c>
      <c r="C569" s="4">
        <v>96</v>
      </c>
      <c r="D569" s="8">
        <v>4.9000000000000004</v>
      </c>
      <c r="E569" s="4">
        <v>43</v>
      </c>
      <c r="F569" s="8">
        <v>4.41</v>
      </c>
      <c r="G569" s="4">
        <v>53</v>
      </c>
      <c r="H569" s="8">
        <v>5.45</v>
      </c>
      <c r="I569" s="4">
        <v>0</v>
      </c>
    </row>
    <row r="570" spans="1:9" x14ac:dyDescent="0.2">
      <c r="A570" s="2">
        <v>7</v>
      </c>
      <c r="B570" s="1" t="s">
        <v>104</v>
      </c>
      <c r="C570" s="4">
        <v>84</v>
      </c>
      <c r="D570" s="8">
        <v>4.29</v>
      </c>
      <c r="E570" s="4">
        <v>59</v>
      </c>
      <c r="F570" s="8">
        <v>6.05</v>
      </c>
      <c r="G570" s="4">
        <v>25</v>
      </c>
      <c r="H570" s="8">
        <v>2.57</v>
      </c>
      <c r="I570" s="4">
        <v>0</v>
      </c>
    </row>
    <row r="571" spans="1:9" x14ac:dyDescent="0.2">
      <c r="A571" s="2">
        <v>8</v>
      </c>
      <c r="B571" s="1" t="s">
        <v>114</v>
      </c>
      <c r="C571" s="4">
        <v>77</v>
      </c>
      <c r="D571" s="8">
        <v>3.93</v>
      </c>
      <c r="E571" s="4">
        <v>59</v>
      </c>
      <c r="F571" s="8">
        <v>6.05</v>
      </c>
      <c r="G571" s="4">
        <v>18</v>
      </c>
      <c r="H571" s="8">
        <v>1.85</v>
      </c>
      <c r="I571" s="4">
        <v>0</v>
      </c>
    </row>
    <row r="572" spans="1:9" x14ac:dyDescent="0.2">
      <c r="A572" s="2">
        <v>9</v>
      </c>
      <c r="B572" s="1" t="s">
        <v>115</v>
      </c>
      <c r="C572" s="4">
        <v>74</v>
      </c>
      <c r="D572" s="8">
        <v>3.78</v>
      </c>
      <c r="E572" s="4">
        <v>62</v>
      </c>
      <c r="F572" s="8">
        <v>6.36</v>
      </c>
      <c r="G572" s="4">
        <v>12</v>
      </c>
      <c r="H572" s="8">
        <v>1.23</v>
      </c>
      <c r="I572" s="4">
        <v>0</v>
      </c>
    </row>
    <row r="573" spans="1:9" x14ac:dyDescent="0.2">
      <c r="A573" s="2">
        <v>10</v>
      </c>
      <c r="B573" s="1" t="s">
        <v>99</v>
      </c>
      <c r="C573" s="4">
        <v>60</v>
      </c>
      <c r="D573" s="8">
        <v>3.06</v>
      </c>
      <c r="E573" s="4">
        <v>15</v>
      </c>
      <c r="F573" s="8">
        <v>1.54</v>
      </c>
      <c r="G573" s="4">
        <v>45</v>
      </c>
      <c r="H573" s="8">
        <v>4.63</v>
      </c>
      <c r="I573" s="4">
        <v>0</v>
      </c>
    </row>
    <row r="574" spans="1:9" x14ac:dyDescent="0.2">
      <c r="A574" s="2">
        <v>11</v>
      </c>
      <c r="B574" s="1" t="s">
        <v>105</v>
      </c>
      <c r="C574" s="4">
        <v>59</v>
      </c>
      <c r="D574" s="8">
        <v>3.01</v>
      </c>
      <c r="E574" s="4">
        <v>34</v>
      </c>
      <c r="F574" s="8">
        <v>3.49</v>
      </c>
      <c r="G574" s="4">
        <v>25</v>
      </c>
      <c r="H574" s="8">
        <v>2.57</v>
      </c>
      <c r="I574" s="4">
        <v>0</v>
      </c>
    </row>
    <row r="575" spans="1:9" x14ac:dyDescent="0.2">
      <c r="A575" s="2">
        <v>12</v>
      </c>
      <c r="B575" s="1" t="s">
        <v>113</v>
      </c>
      <c r="C575" s="4">
        <v>51</v>
      </c>
      <c r="D575" s="8">
        <v>2.6</v>
      </c>
      <c r="E575" s="4">
        <v>26</v>
      </c>
      <c r="F575" s="8">
        <v>2.67</v>
      </c>
      <c r="G575" s="4">
        <v>25</v>
      </c>
      <c r="H575" s="8">
        <v>2.57</v>
      </c>
      <c r="I575" s="4">
        <v>0</v>
      </c>
    </row>
    <row r="576" spans="1:9" x14ac:dyDescent="0.2">
      <c r="A576" s="2">
        <v>12</v>
      </c>
      <c r="B576" s="1" t="s">
        <v>118</v>
      </c>
      <c r="C576" s="4">
        <v>51</v>
      </c>
      <c r="D576" s="8">
        <v>2.6</v>
      </c>
      <c r="E576" s="4">
        <v>0</v>
      </c>
      <c r="F576" s="8">
        <v>0</v>
      </c>
      <c r="G576" s="4">
        <v>42</v>
      </c>
      <c r="H576" s="8">
        <v>4.32</v>
      </c>
      <c r="I576" s="4">
        <v>0</v>
      </c>
    </row>
    <row r="577" spans="1:9" x14ac:dyDescent="0.2">
      <c r="A577" s="2">
        <v>14</v>
      </c>
      <c r="B577" s="1" t="s">
        <v>109</v>
      </c>
      <c r="C577" s="4">
        <v>47</v>
      </c>
      <c r="D577" s="8">
        <v>2.4</v>
      </c>
      <c r="E577" s="4">
        <v>33</v>
      </c>
      <c r="F577" s="8">
        <v>3.38</v>
      </c>
      <c r="G577" s="4">
        <v>14</v>
      </c>
      <c r="H577" s="8">
        <v>1.44</v>
      </c>
      <c r="I577" s="4">
        <v>0</v>
      </c>
    </row>
    <row r="578" spans="1:9" x14ac:dyDescent="0.2">
      <c r="A578" s="2">
        <v>15</v>
      </c>
      <c r="B578" s="1" t="s">
        <v>110</v>
      </c>
      <c r="C578" s="4">
        <v>42</v>
      </c>
      <c r="D578" s="8">
        <v>2.14</v>
      </c>
      <c r="E578" s="4">
        <v>10</v>
      </c>
      <c r="F578" s="8">
        <v>1.03</v>
      </c>
      <c r="G578" s="4">
        <v>32</v>
      </c>
      <c r="H578" s="8">
        <v>3.29</v>
      </c>
      <c r="I578" s="4">
        <v>0</v>
      </c>
    </row>
    <row r="579" spans="1:9" x14ac:dyDescent="0.2">
      <c r="A579" s="2">
        <v>16</v>
      </c>
      <c r="B579" s="1" t="s">
        <v>103</v>
      </c>
      <c r="C579" s="4">
        <v>41</v>
      </c>
      <c r="D579" s="8">
        <v>2.09</v>
      </c>
      <c r="E579" s="4">
        <v>15</v>
      </c>
      <c r="F579" s="8">
        <v>1.54</v>
      </c>
      <c r="G579" s="4">
        <v>26</v>
      </c>
      <c r="H579" s="8">
        <v>2.67</v>
      </c>
      <c r="I579" s="4">
        <v>0</v>
      </c>
    </row>
    <row r="580" spans="1:9" x14ac:dyDescent="0.2">
      <c r="A580" s="2">
        <v>17</v>
      </c>
      <c r="B580" s="1" t="s">
        <v>116</v>
      </c>
      <c r="C580" s="4">
        <v>39</v>
      </c>
      <c r="D580" s="8">
        <v>1.99</v>
      </c>
      <c r="E580" s="4">
        <v>21</v>
      </c>
      <c r="F580" s="8">
        <v>2.15</v>
      </c>
      <c r="G580" s="4">
        <v>18</v>
      </c>
      <c r="H580" s="8">
        <v>1.85</v>
      </c>
      <c r="I580" s="4">
        <v>0</v>
      </c>
    </row>
    <row r="581" spans="1:9" x14ac:dyDescent="0.2">
      <c r="A581" s="2">
        <v>18</v>
      </c>
      <c r="B581" s="1" t="s">
        <v>117</v>
      </c>
      <c r="C581" s="4">
        <v>36</v>
      </c>
      <c r="D581" s="8">
        <v>1.84</v>
      </c>
      <c r="E581" s="4">
        <v>3</v>
      </c>
      <c r="F581" s="8">
        <v>0.31</v>
      </c>
      <c r="G581" s="4">
        <v>33</v>
      </c>
      <c r="H581" s="8">
        <v>3.4</v>
      </c>
      <c r="I581" s="4">
        <v>0</v>
      </c>
    </row>
    <row r="582" spans="1:9" x14ac:dyDescent="0.2">
      <c r="A582" s="2">
        <v>19</v>
      </c>
      <c r="B582" s="1" t="s">
        <v>102</v>
      </c>
      <c r="C582" s="4">
        <v>31</v>
      </c>
      <c r="D582" s="8">
        <v>1.58</v>
      </c>
      <c r="E582" s="4">
        <v>1</v>
      </c>
      <c r="F582" s="8">
        <v>0.1</v>
      </c>
      <c r="G582" s="4">
        <v>30</v>
      </c>
      <c r="H582" s="8">
        <v>3.09</v>
      </c>
      <c r="I582" s="4">
        <v>0</v>
      </c>
    </row>
    <row r="583" spans="1:9" x14ac:dyDescent="0.2">
      <c r="A583" s="2">
        <v>19</v>
      </c>
      <c r="B583" s="1" t="s">
        <v>107</v>
      </c>
      <c r="C583" s="4">
        <v>31</v>
      </c>
      <c r="D583" s="8">
        <v>1.58</v>
      </c>
      <c r="E583" s="4">
        <v>5</v>
      </c>
      <c r="F583" s="8">
        <v>0.51</v>
      </c>
      <c r="G583" s="4">
        <v>26</v>
      </c>
      <c r="H583" s="8">
        <v>2.67</v>
      </c>
      <c r="I583" s="4">
        <v>0</v>
      </c>
    </row>
    <row r="584" spans="1:9" x14ac:dyDescent="0.2">
      <c r="A584" s="1"/>
      <c r="C584" s="4"/>
      <c r="D584" s="8"/>
      <c r="E584" s="4"/>
      <c r="F584" s="8"/>
      <c r="G584" s="4"/>
      <c r="H584" s="8"/>
      <c r="I584" s="4"/>
    </row>
    <row r="585" spans="1:9" x14ac:dyDescent="0.2">
      <c r="A585" s="1" t="s">
        <v>26</v>
      </c>
      <c r="C585" s="4"/>
      <c r="D585" s="8"/>
      <c r="E585" s="4"/>
      <c r="F585" s="8"/>
      <c r="G585" s="4"/>
      <c r="H585" s="8"/>
      <c r="I585" s="4"/>
    </row>
    <row r="586" spans="1:9" x14ac:dyDescent="0.2">
      <c r="A586" s="2">
        <v>1</v>
      </c>
      <c r="B586" s="1" t="s">
        <v>112</v>
      </c>
      <c r="C586" s="4">
        <v>330</v>
      </c>
      <c r="D586" s="8">
        <v>11.32</v>
      </c>
      <c r="E586" s="4">
        <v>287</v>
      </c>
      <c r="F586" s="8">
        <v>18.02</v>
      </c>
      <c r="G586" s="4">
        <v>43</v>
      </c>
      <c r="H586" s="8">
        <v>3.29</v>
      </c>
      <c r="I586" s="4">
        <v>0</v>
      </c>
    </row>
    <row r="587" spans="1:9" x14ac:dyDescent="0.2">
      <c r="A587" s="2">
        <v>2</v>
      </c>
      <c r="B587" s="1" t="s">
        <v>111</v>
      </c>
      <c r="C587" s="4">
        <v>281</v>
      </c>
      <c r="D587" s="8">
        <v>9.64</v>
      </c>
      <c r="E587" s="4">
        <v>241</v>
      </c>
      <c r="F587" s="8">
        <v>15.13</v>
      </c>
      <c r="G587" s="4">
        <v>40</v>
      </c>
      <c r="H587" s="8">
        <v>3.06</v>
      </c>
      <c r="I587" s="4">
        <v>0</v>
      </c>
    </row>
    <row r="588" spans="1:9" x14ac:dyDescent="0.2">
      <c r="A588" s="2">
        <v>3</v>
      </c>
      <c r="B588" s="1" t="s">
        <v>97</v>
      </c>
      <c r="C588" s="4">
        <v>220</v>
      </c>
      <c r="D588" s="8">
        <v>7.55</v>
      </c>
      <c r="E588" s="4">
        <v>77</v>
      </c>
      <c r="F588" s="8">
        <v>4.83</v>
      </c>
      <c r="G588" s="4">
        <v>143</v>
      </c>
      <c r="H588" s="8">
        <v>10.95</v>
      </c>
      <c r="I588" s="4">
        <v>0</v>
      </c>
    </row>
    <row r="589" spans="1:9" x14ac:dyDescent="0.2">
      <c r="A589" s="2">
        <v>4</v>
      </c>
      <c r="B589" s="1" t="s">
        <v>106</v>
      </c>
      <c r="C589" s="4">
        <v>209</v>
      </c>
      <c r="D589" s="8">
        <v>7.17</v>
      </c>
      <c r="E589" s="4">
        <v>109</v>
      </c>
      <c r="F589" s="8">
        <v>6.84</v>
      </c>
      <c r="G589" s="4">
        <v>100</v>
      </c>
      <c r="H589" s="8">
        <v>7.66</v>
      </c>
      <c r="I589" s="4">
        <v>0</v>
      </c>
    </row>
    <row r="590" spans="1:9" x14ac:dyDescent="0.2">
      <c r="A590" s="2">
        <v>5</v>
      </c>
      <c r="B590" s="1" t="s">
        <v>108</v>
      </c>
      <c r="C590" s="4">
        <v>153</v>
      </c>
      <c r="D590" s="8">
        <v>5.25</v>
      </c>
      <c r="E590" s="4">
        <v>57</v>
      </c>
      <c r="F590" s="8">
        <v>3.58</v>
      </c>
      <c r="G590" s="4">
        <v>96</v>
      </c>
      <c r="H590" s="8">
        <v>7.35</v>
      </c>
      <c r="I590" s="4">
        <v>0</v>
      </c>
    </row>
    <row r="591" spans="1:9" x14ac:dyDescent="0.2">
      <c r="A591" s="2">
        <v>6</v>
      </c>
      <c r="B591" s="1" t="s">
        <v>98</v>
      </c>
      <c r="C591" s="4">
        <v>151</v>
      </c>
      <c r="D591" s="8">
        <v>5.18</v>
      </c>
      <c r="E591" s="4">
        <v>88</v>
      </c>
      <c r="F591" s="8">
        <v>5.52</v>
      </c>
      <c r="G591" s="4">
        <v>63</v>
      </c>
      <c r="H591" s="8">
        <v>4.82</v>
      </c>
      <c r="I591" s="4">
        <v>0</v>
      </c>
    </row>
    <row r="592" spans="1:9" x14ac:dyDescent="0.2">
      <c r="A592" s="2">
        <v>7</v>
      </c>
      <c r="B592" s="1" t="s">
        <v>99</v>
      </c>
      <c r="C592" s="4">
        <v>124</v>
      </c>
      <c r="D592" s="8">
        <v>4.25</v>
      </c>
      <c r="E592" s="4">
        <v>48</v>
      </c>
      <c r="F592" s="8">
        <v>3.01</v>
      </c>
      <c r="G592" s="4">
        <v>76</v>
      </c>
      <c r="H592" s="8">
        <v>5.82</v>
      </c>
      <c r="I592" s="4">
        <v>0</v>
      </c>
    </row>
    <row r="593" spans="1:9" x14ac:dyDescent="0.2">
      <c r="A593" s="2">
        <v>8</v>
      </c>
      <c r="B593" s="1" t="s">
        <v>104</v>
      </c>
      <c r="C593" s="4">
        <v>119</v>
      </c>
      <c r="D593" s="8">
        <v>4.08</v>
      </c>
      <c r="E593" s="4">
        <v>90</v>
      </c>
      <c r="F593" s="8">
        <v>5.65</v>
      </c>
      <c r="G593" s="4">
        <v>29</v>
      </c>
      <c r="H593" s="8">
        <v>2.2200000000000002</v>
      </c>
      <c r="I593" s="4">
        <v>0</v>
      </c>
    </row>
    <row r="594" spans="1:9" x14ac:dyDescent="0.2">
      <c r="A594" s="2">
        <v>9</v>
      </c>
      <c r="B594" s="1" t="s">
        <v>115</v>
      </c>
      <c r="C594" s="4">
        <v>109</v>
      </c>
      <c r="D594" s="8">
        <v>3.74</v>
      </c>
      <c r="E594" s="4">
        <v>104</v>
      </c>
      <c r="F594" s="8">
        <v>6.53</v>
      </c>
      <c r="G594" s="4">
        <v>5</v>
      </c>
      <c r="H594" s="8">
        <v>0.38</v>
      </c>
      <c r="I594" s="4">
        <v>0</v>
      </c>
    </row>
    <row r="595" spans="1:9" x14ac:dyDescent="0.2">
      <c r="A595" s="2">
        <v>10</v>
      </c>
      <c r="B595" s="1" t="s">
        <v>105</v>
      </c>
      <c r="C595" s="4">
        <v>104</v>
      </c>
      <c r="D595" s="8">
        <v>3.57</v>
      </c>
      <c r="E595" s="4">
        <v>55</v>
      </c>
      <c r="F595" s="8">
        <v>3.45</v>
      </c>
      <c r="G595" s="4">
        <v>49</v>
      </c>
      <c r="H595" s="8">
        <v>3.75</v>
      </c>
      <c r="I595" s="4">
        <v>0</v>
      </c>
    </row>
    <row r="596" spans="1:9" x14ac:dyDescent="0.2">
      <c r="A596" s="2">
        <v>10</v>
      </c>
      <c r="B596" s="1" t="s">
        <v>114</v>
      </c>
      <c r="C596" s="4">
        <v>104</v>
      </c>
      <c r="D596" s="8">
        <v>3.57</v>
      </c>
      <c r="E596" s="4">
        <v>70</v>
      </c>
      <c r="F596" s="8">
        <v>4.3899999999999997</v>
      </c>
      <c r="G596" s="4">
        <v>26</v>
      </c>
      <c r="H596" s="8">
        <v>1.99</v>
      </c>
      <c r="I596" s="4">
        <v>0</v>
      </c>
    </row>
    <row r="597" spans="1:9" x14ac:dyDescent="0.2">
      <c r="A597" s="2">
        <v>12</v>
      </c>
      <c r="B597" s="1" t="s">
        <v>116</v>
      </c>
      <c r="C597" s="4">
        <v>81</v>
      </c>
      <c r="D597" s="8">
        <v>2.78</v>
      </c>
      <c r="E597" s="4">
        <v>61</v>
      </c>
      <c r="F597" s="8">
        <v>3.83</v>
      </c>
      <c r="G597" s="4">
        <v>20</v>
      </c>
      <c r="H597" s="8">
        <v>1.53</v>
      </c>
      <c r="I597" s="4">
        <v>0</v>
      </c>
    </row>
    <row r="598" spans="1:9" x14ac:dyDescent="0.2">
      <c r="A598" s="2">
        <v>13</v>
      </c>
      <c r="B598" s="1" t="s">
        <v>127</v>
      </c>
      <c r="C598" s="4">
        <v>71</v>
      </c>
      <c r="D598" s="8">
        <v>2.44</v>
      </c>
      <c r="E598" s="4">
        <v>56</v>
      </c>
      <c r="F598" s="8">
        <v>3.52</v>
      </c>
      <c r="G598" s="4">
        <v>15</v>
      </c>
      <c r="H598" s="8">
        <v>1.1499999999999999</v>
      </c>
      <c r="I598" s="4">
        <v>0</v>
      </c>
    </row>
    <row r="599" spans="1:9" x14ac:dyDescent="0.2">
      <c r="A599" s="2">
        <v>14</v>
      </c>
      <c r="B599" s="1" t="s">
        <v>109</v>
      </c>
      <c r="C599" s="4">
        <v>67</v>
      </c>
      <c r="D599" s="8">
        <v>2.2999999999999998</v>
      </c>
      <c r="E599" s="4">
        <v>38</v>
      </c>
      <c r="F599" s="8">
        <v>2.39</v>
      </c>
      <c r="G599" s="4">
        <v>29</v>
      </c>
      <c r="H599" s="8">
        <v>2.2200000000000002</v>
      </c>
      <c r="I599" s="4">
        <v>0</v>
      </c>
    </row>
    <row r="600" spans="1:9" x14ac:dyDescent="0.2">
      <c r="A600" s="2">
        <v>15</v>
      </c>
      <c r="B600" s="1" t="s">
        <v>103</v>
      </c>
      <c r="C600" s="4">
        <v>56</v>
      </c>
      <c r="D600" s="8">
        <v>1.92</v>
      </c>
      <c r="E600" s="4">
        <v>29</v>
      </c>
      <c r="F600" s="8">
        <v>1.82</v>
      </c>
      <c r="G600" s="4">
        <v>27</v>
      </c>
      <c r="H600" s="8">
        <v>2.0699999999999998</v>
      </c>
      <c r="I600" s="4">
        <v>0</v>
      </c>
    </row>
    <row r="601" spans="1:9" x14ac:dyDescent="0.2">
      <c r="A601" s="2">
        <v>16</v>
      </c>
      <c r="B601" s="1" t="s">
        <v>118</v>
      </c>
      <c r="C601" s="4">
        <v>52</v>
      </c>
      <c r="D601" s="8">
        <v>1.78</v>
      </c>
      <c r="E601" s="4">
        <v>0</v>
      </c>
      <c r="F601" s="8">
        <v>0</v>
      </c>
      <c r="G601" s="4">
        <v>48</v>
      </c>
      <c r="H601" s="8">
        <v>3.68</v>
      </c>
      <c r="I601" s="4">
        <v>1</v>
      </c>
    </row>
    <row r="602" spans="1:9" x14ac:dyDescent="0.2">
      <c r="A602" s="2">
        <v>17</v>
      </c>
      <c r="B602" s="1" t="s">
        <v>110</v>
      </c>
      <c r="C602" s="4">
        <v>51</v>
      </c>
      <c r="D602" s="8">
        <v>1.75</v>
      </c>
      <c r="E602" s="4">
        <v>25</v>
      </c>
      <c r="F602" s="8">
        <v>1.57</v>
      </c>
      <c r="G602" s="4">
        <v>26</v>
      </c>
      <c r="H602" s="8">
        <v>1.99</v>
      </c>
      <c r="I602" s="4">
        <v>0</v>
      </c>
    </row>
    <row r="603" spans="1:9" x14ac:dyDescent="0.2">
      <c r="A603" s="2">
        <v>17</v>
      </c>
      <c r="B603" s="1" t="s">
        <v>113</v>
      </c>
      <c r="C603" s="4">
        <v>51</v>
      </c>
      <c r="D603" s="8">
        <v>1.75</v>
      </c>
      <c r="E603" s="4">
        <v>20</v>
      </c>
      <c r="F603" s="8">
        <v>1.26</v>
      </c>
      <c r="G603" s="4">
        <v>31</v>
      </c>
      <c r="H603" s="8">
        <v>2.37</v>
      </c>
      <c r="I603" s="4">
        <v>0</v>
      </c>
    </row>
    <row r="604" spans="1:9" x14ac:dyDescent="0.2">
      <c r="A604" s="2">
        <v>19</v>
      </c>
      <c r="B604" s="1" t="s">
        <v>101</v>
      </c>
      <c r="C604" s="4">
        <v>42</v>
      </c>
      <c r="D604" s="8">
        <v>1.44</v>
      </c>
      <c r="E604" s="4">
        <v>14</v>
      </c>
      <c r="F604" s="8">
        <v>0.88</v>
      </c>
      <c r="G604" s="4">
        <v>28</v>
      </c>
      <c r="H604" s="8">
        <v>2.14</v>
      </c>
      <c r="I604" s="4">
        <v>0</v>
      </c>
    </row>
    <row r="605" spans="1:9" x14ac:dyDescent="0.2">
      <c r="A605" s="2">
        <v>20</v>
      </c>
      <c r="B605" s="1" t="s">
        <v>107</v>
      </c>
      <c r="C605" s="4">
        <v>39</v>
      </c>
      <c r="D605" s="8">
        <v>1.34</v>
      </c>
      <c r="E605" s="4">
        <v>9</v>
      </c>
      <c r="F605" s="8">
        <v>0.56000000000000005</v>
      </c>
      <c r="G605" s="4">
        <v>30</v>
      </c>
      <c r="H605" s="8">
        <v>2.2999999999999998</v>
      </c>
      <c r="I605" s="4">
        <v>0</v>
      </c>
    </row>
    <row r="606" spans="1:9" x14ac:dyDescent="0.2">
      <c r="A606" s="1"/>
      <c r="C606" s="4"/>
      <c r="D606" s="8"/>
      <c r="E606" s="4"/>
      <c r="F606" s="8"/>
      <c r="G606" s="4"/>
      <c r="H606" s="8"/>
      <c r="I606" s="4"/>
    </row>
    <row r="607" spans="1:9" x14ac:dyDescent="0.2">
      <c r="A607" s="1" t="s">
        <v>27</v>
      </c>
      <c r="C607" s="4"/>
      <c r="D607" s="8"/>
      <c r="E607" s="4"/>
      <c r="F607" s="8"/>
      <c r="G607" s="4"/>
      <c r="H607" s="8"/>
      <c r="I607" s="4"/>
    </row>
    <row r="608" spans="1:9" x14ac:dyDescent="0.2">
      <c r="A608" s="2">
        <v>1</v>
      </c>
      <c r="B608" s="1" t="s">
        <v>108</v>
      </c>
      <c r="C608" s="4">
        <v>379</v>
      </c>
      <c r="D608" s="8">
        <v>10.67</v>
      </c>
      <c r="E608" s="4">
        <v>133</v>
      </c>
      <c r="F608" s="8">
        <v>8.5299999999999994</v>
      </c>
      <c r="G608" s="4">
        <v>246</v>
      </c>
      <c r="H608" s="8">
        <v>12.4</v>
      </c>
      <c r="I608" s="4">
        <v>0</v>
      </c>
    </row>
    <row r="609" spans="1:9" x14ac:dyDescent="0.2">
      <c r="A609" s="2">
        <v>2</v>
      </c>
      <c r="B609" s="1" t="s">
        <v>112</v>
      </c>
      <c r="C609" s="4">
        <v>375</v>
      </c>
      <c r="D609" s="8">
        <v>10.55</v>
      </c>
      <c r="E609" s="4">
        <v>296</v>
      </c>
      <c r="F609" s="8">
        <v>18.97</v>
      </c>
      <c r="G609" s="4">
        <v>79</v>
      </c>
      <c r="H609" s="8">
        <v>3.98</v>
      </c>
      <c r="I609" s="4">
        <v>0</v>
      </c>
    </row>
    <row r="610" spans="1:9" x14ac:dyDescent="0.2">
      <c r="A610" s="2">
        <v>3</v>
      </c>
      <c r="B610" s="1" t="s">
        <v>111</v>
      </c>
      <c r="C610" s="4">
        <v>325</v>
      </c>
      <c r="D610" s="8">
        <v>9.15</v>
      </c>
      <c r="E610" s="4">
        <v>274</v>
      </c>
      <c r="F610" s="8">
        <v>17.559999999999999</v>
      </c>
      <c r="G610" s="4">
        <v>51</v>
      </c>
      <c r="H610" s="8">
        <v>2.57</v>
      </c>
      <c r="I610" s="4">
        <v>0</v>
      </c>
    </row>
    <row r="611" spans="1:9" x14ac:dyDescent="0.2">
      <c r="A611" s="2">
        <v>4</v>
      </c>
      <c r="B611" s="1" t="s">
        <v>114</v>
      </c>
      <c r="C611" s="4">
        <v>217</v>
      </c>
      <c r="D611" s="8">
        <v>6.11</v>
      </c>
      <c r="E611" s="4">
        <v>168</v>
      </c>
      <c r="F611" s="8">
        <v>10.77</v>
      </c>
      <c r="G611" s="4">
        <v>43</v>
      </c>
      <c r="H611" s="8">
        <v>2.17</v>
      </c>
      <c r="I611" s="4">
        <v>0</v>
      </c>
    </row>
    <row r="612" spans="1:9" x14ac:dyDescent="0.2">
      <c r="A612" s="2">
        <v>5</v>
      </c>
      <c r="B612" s="1" t="s">
        <v>98</v>
      </c>
      <c r="C612" s="4">
        <v>189</v>
      </c>
      <c r="D612" s="8">
        <v>5.32</v>
      </c>
      <c r="E612" s="4">
        <v>52</v>
      </c>
      <c r="F612" s="8">
        <v>3.33</v>
      </c>
      <c r="G612" s="4">
        <v>137</v>
      </c>
      <c r="H612" s="8">
        <v>6.91</v>
      </c>
      <c r="I612" s="4">
        <v>0</v>
      </c>
    </row>
    <row r="613" spans="1:9" x14ac:dyDescent="0.2">
      <c r="A613" s="2">
        <v>6</v>
      </c>
      <c r="B613" s="1" t="s">
        <v>106</v>
      </c>
      <c r="C613" s="4">
        <v>178</v>
      </c>
      <c r="D613" s="8">
        <v>5.01</v>
      </c>
      <c r="E613" s="4">
        <v>64</v>
      </c>
      <c r="F613" s="8">
        <v>4.0999999999999996</v>
      </c>
      <c r="G613" s="4">
        <v>114</v>
      </c>
      <c r="H613" s="8">
        <v>5.75</v>
      </c>
      <c r="I613" s="4">
        <v>0</v>
      </c>
    </row>
    <row r="614" spans="1:9" x14ac:dyDescent="0.2">
      <c r="A614" s="2">
        <v>7</v>
      </c>
      <c r="B614" s="1" t="s">
        <v>97</v>
      </c>
      <c r="C614" s="4">
        <v>164</v>
      </c>
      <c r="D614" s="8">
        <v>4.62</v>
      </c>
      <c r="E614" s="4">
        <v>24</v>
      </c>
      <c r="F614" s="8">
        <v>1.54</v>
      </c>
      <c r="G614" s="4">
        <v>140</v>
      </c>
      <c r="H614" s="8">
        <v>7.06</v>
      </c>
      <c r="I614" s="4">
        <v>0</v>
      </c>
    </row>
    <row r="615" spans="1:9" x14ac:dyDescent="0.2">
      <c r="A615" s="2">
        <v>8</v>
      </c>
      <c r="B615" s="1" t="s">
        <v>115</v>
      </c>
      <c r="C615" s="4">
        <v>157</v>
      </c>
      <c r="D615" s="8">
        <v>4.42</v>
      </c>
      <c r="E615" s="4">
        <v>139</v>
      </c>
      <c r="F615" s="8">
        <v>8.91</v>
      </c>
      <c r="G615" s="4">
        <v>18</v>
      </c>
      <c r="H615" s="8">
        <v>0.91</v>
      </c>
      <c r="I615" s="4">
        <v>0</v>
      </c>
    </row>
    <row r="616" spans="1:9" x14ac:dyDescent="0.2">
      <c r="A616" s="2">
        <v>9</v>
      </c>
      <c r="B616" s="1" t="s">
        <v>99</v>
      </c>
      <c r="C616" s="4">
        <v>152</v>
      </c>
      <c r="D616" s="8">
        <v>4.28</v>
      </c>
      <c r="E616" s="4">
        <v>19</v>
      </c>
      <c r="F616" s="8">
        <v>1.22</v>
      </c>
      <c r="G616" s="4">
        <v>133</v>
      </c>
      <c r="H616" s="8">
        <v>6.7</v>
      </c>
      <c r="I616" s="4">
        <v>0</v>
      </c>
    </row>
    <row r="617" spans="1:9" x14ac:dyDescent="0.2">
      <c r="A617" s="2">
        <v>10</v>
      </c>
      <c r="B617" s="1" t="s">
        <v>109</v>
      </c>
      <c r="C617" s="4">
        <v>115</v>
      </c>
      <c r="D617" s="8">
        <v>3.24</v>
      </c>
      <c r="E617" s="4">
        <v>70</v>
      </c>
      <c r="F617" s="8">
        <v>4.49</v>
      </c>
      <c r="G617" s="4">
        <v>45</v>
      </c>
      <c r="H617" s="8">
        <v>2.27</v>
      </c>
      <c r="I617" s="4">
        <v>0</v>
      </c>
    </row>
    <row r="618" spans="1:9" x14ac:dyDescent="0.2">
      <c r="A618" s="2">
        <v>11</v>
      </c>
      <c r="B618" s="1" t="s">
        <v>104</v>
      </c>
      <c r="C618" s="4">
        <v>103</v>
      </c>
      <c r="D618" s="8">
        <v>2.9</v>
      </c>
      <c r="E618" s="4">
        <v>59</v>
      </c>
      <c r="F618" s="8">
        <v>3.78</v>
      </c>
      <c r="G618" s="4">
        <v>44</v>
      </c>
      <c r="H618" s="8">
        <v>2.2200000000000002</v>
      </c>
      <c r="I618" s="4">
        <v>0</v>
      </c>
    </row>
    <row r="619" spans="1:9" x14ac:dyDescent="0.2">
      <c r="A619" s="2">
        <v>12</v>
      </c>
      <c r="B619" s="1" t="s">
        <v>105</v>
      </c>
      <c r="C619" s="4">
        <v>96</v>
      </c>
      <c r="D619" s="8">
        <v>2.7</v>
      </c>
      <c r="E619" s="4">
        <v>34</v>
      </c>
      <c r="F619" s="8">
        <v>2.1800000000000002</v>
      </c>
      <c r="G619" s="4">
        <v>62</v>
      </c>
      <c r="H619" s="8">
        <v>3.13</v>
      </c>
      <c r="I619" s="4">
        <v>0</v>
      </c>
    </row>
    <row r="620" spans="1:9" x14ac:dyDescent="0.2">
      <c r="A620" s="2">
        <v>13</v>
      </c>
      <c r="B620" s="1" t="s">
        <v>110</v>
      </c>
      <c r="C620" s="4">
        <v>80</v>
      </c>
      <c r="D620" s="8">
        <v>2.25</v>
      </c>
      <c r="E620" s="4">
        <v>27</v>
      </c>
      <c r="F620" s="8">
        <v>1.73</v>
      </c>
      <c r="G620" s="4">
        <v>53</v>
      </c>
      <c r="H620" s="8">
        <v>2.67</v>
      </c>
      <c r="I620" s="4">
        <v>0</v>
      </c>
    </row>
    <row r="621" spans="1:9" x14ac:dyDescent="0.2">
      <c r="A621" s="2">
        <v>14</v>
      </c>
      <c r="B621" s="1" t="s">
        <v>107</v>
      </c>
      <c r="C621" s="4">
        <v>72</v>
      </c>
      <c r="D621" s="8">
        <v>2.0299999999999998</v>
      </c>
      <c r="E621" s="4">
        <v>4</v>
      </c>
      <c r="F621" s="8">
        <v>0.26</v>
      </c>
      <c r="G621" s="4">
        <v>68</v>
      </c>
      <c r="H621" s="8">
        <v>3.43</v>
      </c>
      <c r="I621" s="4">
        <v>0</v>
      </c>
    </row>
    <row r="622" spans="1:9" x14ac:dyDescent="0.2">
      <c r="A622" s="2">
        <v>15</v>
      </c>
      <c r="B622" s="1" t="s">
        <v>113</v>
      </c>
      <c r="C622" s="4">
        <v>60</v>
      </c>
      <c r="D622" s="8">
        <v>1.69</v>
      </c>
      <c r="E622" s="4">
        <v>28</v>
      </c>
      <c r="F622" s="8">
        <v>1.79</v>
      </c>
      <c r="G622" s="4">
        <v>32</v>
      </c>
      <c r="H622" s="8">
        <v>1.61</v>
      </c>
      <c r="I622" s="4">
        <v>0</v>
      </c>
    </row>
    <row r="623" spans="1:9" x14ac:dyDescent="0.2">
      <c r="A623" s="2">
        <v>16</v>
      </c>
      <c r="B623" s="1" t="s">
        <v>119</v>
      </c>
      <c r="C623" s="4">
        <v>56</v>
      </c>
      <c r="D623" s="8">
        <v>1.58</v>
      </c>
      <c r="E623" s="4">
        <v>6</v>
      </c>
      <c r="F623" s="8">
        <v>0.38</v>
      </c>
      <c r="G623" s="4">
        <v>49</v>
      </c>
      <c r="H623" s="8">
        <v>2.4700000000000002</v>
      </c>
      <c r="I623" s="4">
        <v>0</v>
      </c>
    </row>
    <row r="624" spans="1:9" x14ac:dyDescent="0.2">
      <c r="A624" s="2">
        <v>17</v>
      </c>
      <c r="B624" s="1" t="s">
        <v>103</v>
      </c>
      <c r="C624" s="4">
        <v>54</v>
      </c>
      <c r="D624" s="8">
        <v>1.52</v>
      </c>
      <c r="E624" s="4">
        <v>19</v>
      </c>
      <c r="F624" s="8">
        <v>1.22</v>
      </c>
      <c r="G624" s="4">
        <v>35</v>
      </c>
      <c r="H624" s="8">
        <v>1.76</v>
      </c>
      <c r="I624" s="4">
        <v>0</v>
      </c>
    </row>
    <row r="625" spans="1:9" x14ac:dyDescent="0.2">
      <c r="A625" s="2">
        <v>18</v>
      </c>
      <c r="B625" s="1" t="s">
        <v>116</v>
      </c>
      <c r="C625" s="4">
        <v>50</v>
      </c>
      <c r="D625" s="8">
        <v>1.41</v>
      </c>
      <c r="E625" s="4">
        <v>27</v>
      </c>
      <c r="F625" s="8">
        <v>1.73</v>
      </c>
      <c r="G625" s="4">
        <v>23</v>
      </c>
      <c r="H625" s="8">
        <v>1.1599999999999999</v>
      </c>
      <c r="I625" s="4">
        <v>0</v>
      </c>
    </row>
    <row r="626" spans="1:9" x14ac:dyDescent="0.2">
      <c r="A626" s="2">
        <v>19</v>
      </c>
      <c r="B626" s="1" t="s">
        <v>102</v>
      </c>
      <c r="C626" s="4">
        <v>46</v>
      </c>
      <c r="D626" s="8">
        <v>1.29</v>
      </c>
      <c r="E626" s="4">
        <v>3</v>
      </c>
      <c r="F626" s="8">
        <v>0.19</v>
      </c>
      <c r="G626" s="4">
        <v>43</v>
      </c>
      <c r="H626" s="8">
        <v>2.17</v>
      </c>
      <c r="I626" s="4">
        <v>0</v>
      </c>
    </row>
    <row r="627" spans="1:9" x14ac:dyDescent="0.2">
      <c r="A627" s="2">
        <v>20</v>
      </c>
      <c r="B627" s="1" t="s">
        <v>118</v>
      </c>
      <c r="C627" s="4">
        <v>45</v>
      </c>
      <c r="D627" s="8">
        <v>1.27</v>
      </c>
      <c r="E627" s="4">
        <v>0</v>
      </c>
      <c r="F627" s="8">
        <v>0</v>
      </c>
      <c r="G627" s="4">
        <v>45</v>
      </c>
      <c r="H627" s="8">
        <v>2.27</v>
      </c>
      <c r="I627" s="4">
        <v>0</v>
      </c>
    </row>
    <row r="628" spans="1:9" x14ac:dyDescent="0.2">
      <c r="A628" s="1"/>
      <c r="C628" s="4"/>
      <c r="D628" s="8"/>
      <c r="E628" s="4"/>
      <c r="F628" s="8"/>
      <c r="G628" s="4"/>
      <c r="H628" s="8"/>
      <c r="I628" s="4"/>
    </row>
    <row r="629" spans="1:9" x14ac:dyDescent="0.2">
      <c r="A629" s="1" t="s">
        <v>28</v>
      </c>
      <c r="C629" s="4"/>
      <c r="D629" s="8"/>
      <c r="E629" s="4"/>
      <c r="F629" s="8"/>
      <c r="G629" s="4"/>
      <c r="H629" s="8"/>
      <c r="I629" s="4"/>
    </row>
    <row r="630" spans="1:9" x14ac:dyDescent="0.2">
      <c r="A630" s="2">
        <v>1</v>
      </c>
      <c r="B630" s="1" t="s">
        <v>111</v>
      </c>
      <c r="C630" s="4">
        <v>384</v>
      </c>
      <c r="D630" s="8">
        <v>9.0299999999999994</v>
      </c>
      <c r="E630" s="4">
        <v>321</v>
      </c>
      <c r="F630" s="8">
        <v>20.05</v>
      </c>
      <c r="G630" s="4">
        <v>62</v>
      </c>
      <c r="H630" s="8">
        <v>2.35</v>
      </c>
      <c r="I630" s="4">
        <v>1</v>
      </c>
    </row>
    <row r="631" spans="1:9" x14ac:dyDescent="0.2">
      <c r="A631" s="2">
        <v>2</v>
      </c>
      <c r="B631" s="1" t="s">
        <v>112</v>
      </c>
      <c r="C631" s="4">
        <v>374</v>
      </c>
      <c r="D631" s="8">
        <v>8.7899999999999991</v>
      </c>
      <c r="E631" s="4">
        <v>287</v>
      </c>
      <c r="F631" s="8">
        <v>17.93</v>
      </c>
      <c r="G631" s="4">
        <v>87</v>
      </c>
      <c r="H631" s="8">
        <v>3.3</v>
      </c>
      <c r="I631" s="4">
        <v>0</v>
      </c>
    </row>
    <row r="632" spans="1:9" x14ac:dyDescent="0.2">
      <c r="A632" s="2">
        <v>3</v>
      </c>
      <c r="B632" s="1" t="s">
        <v>108</v>
      </c>
      <c r="C632" s="4">
        <v>364</v>
      </c>
      <c r="D632" s="8">
        <v>8.56</v>
      </c>
      <c r="E632" s="4">
        <v>88</v>
      </c>
      <c r="F632" s="8">
        <v>5.5</v>
      </c>
      <c r="G632" s="4">
        <v>274</v>
      </c>
      <c r="H632" s="8">
        <v>10.39</v>
      </c>
      <c r="I632" s="4">
        <v>2</v>
      </c>
    </row>
    <row r="633" spans="1:9" x14ac:dyDescent="0.2">
      <c r="A633" s="2">
        <v>4</v>
      </c>
      <c r="B633" s="1" t="s">
        <v>98</v>
      </c>
      <c r="C633" s="4">
        <v>284</v>
      </c>
      <c r="D633" s="8">
        <v>6.68</v>
      </c>
      <c r="E633" s="4">
        <v>42</v>
      </c>
      <c r="F633" s="8">
        <v>2.62</v>
      </c>
      <c r="G633" s="4">
        <v>242</v>
      </c>
      <c r="H633" s="8">
        <v>9.17</v>
      </c>
      <c r="I633" s="4">
        <v>0</v>
      </c>
    </row>
    <row r="634" spans="1:9" x14ac:dyDescent="0.2">
      <c r="A634" s="2">
        <v>5</v>
      </c>
      <c r="B634" s="1" t="s">
        <v>97</v>
      </c>
      <c r="C634" s="4">
        <v>208</v>
      </c>
      <c r="D634" s="8">
        <v>4.8899999999999997</v>
      </c>
      <c r="E634" s="4">
        <v>21</v>
      </c>
      <c r="F634" s="8">
        <v>1.31</v>
      </c>
      <c r="G634" s="4">
        <v>187</v>
      </c>
      <c r="H634" s="8">
        <v>7.09</v>
      </c>
      <c r="I634" s="4">
        <v>0</v>
      </c>
    </row>
    <row r="635" spans="1:9" x14ac:dyDescent="0.2">
      <c r="A635" s="2">
        <v>6</v>
      </c>
      <c r="B635" s="1" t="s">
        <v>106</v>
      </c>
      <c r="C635" s="4">
        <v>169</v>
      </c>
      <c r="D635" s="8">
        <v>3.97</v>
      </c>
      <c r="E635" s="4">
        <v>77</v>
      </c>
      <c r="F635" s="8">
        <v>4.8099999999999996</v>
      </c>
      <c r="G635" s="4">
        <v>92</v>
      </c>
      <c r="H635" s="8">
        <v>3.49</v>
      </c>
      <c r="I635" s="4">
        <v>0</v>
      </c>
    </row>
    <row r="636" spans="1:9" x14ac:dyDescent="0.2">
      <c r="A636" s="2">
        <v>7</v>
      </c>
      <c r="B636" s="1" t="s">
        <v>99</v>
      </c>
      <c r="C636" s="4">
        <v>165</v>
      </c>
      <c r="D636" s="8">
        <v>3.88</v>
      </c>
      <c r="E636" s="4">
        <v>18</v>
      </c>
      <c r="F636" s="8">
        <v>1.1200000000000001</v>
      </c>
      <c r="G636" s="4">
        <v>146</v>
      </c>
      <c r="H636" s="8">
        <v>5.53</v>
      </c>
      <c r="I636" s="4">
        <v>1</v>
      </c>
    </row>
    <row r="637" spans="1:9" x14ac:dyDescent="0.2">
      <c r="A637" s="2">
        <v>8</v>
      </c>
      <c r="B637" s="1" t="s">
        <v>100</v>
      </c>
      <c r="C637" s="4">
        <v>158</v>
      </c>
      <c r="D637" s="8">
        <v>3.71</v>
      </c>
      <c r="E637" s="4">
        <v>44</v>
      </c>
      <c r="F637" s="8">
        <v>2.75</v>
      </c>
      <c r="G637" s="4">
        <v>114</v>
      </c>
      <c r="H637" s="8">
        <v>4.32</v>
      </c>
      <c r="I637" s="4">
        <v>0</v>
      </c>
    </row>
    <row r="638" spans="1:9" x14ac:dyDescent="0.2">
      <c r="A638" s="2">
        <v>9</v>
      </c>
      <c r="B638" s="1" t="s">
        <v>114</v>
      </c>
      <c r="C638" s="4">
        <v>149</v>
      </c>
      <c r="D638" s="8">
        <v>3.5</v>
      </c>
      <c r="E638" s="4">
        <v>94</v>
      </c>
      <c r="F638" s="8">
        <v>5.87</v>
      </c>
      <c r="G638" s="4">
        <v>52</v>
      </c>
      <c r="H638" s="8">
        <v>1.97</v>
      </c>
      <c r="I638" s="4">
        <v>0</v>
      </c>
    </row>
    <row r="639" spans="1:9" x14ac:dyDescent="0.2">
      <c r="A639" s="2">
        <v>9</v>
      </c>
      <c r="B639" s="1" t="s">
        <v>115</v>
      </c>
      <c r="C639" s="4">
        <v>149</v>
      </c>
      <c r="D639" s="8">
        <v>3.5</v>
      </c>
      <c r="E639" s="4">
        <v>123</v>
      </c>
      <c r="F639" s="8">
        <v>7.68</v>
      </c>
      <c r="G639" s="4">
        <v>26</v>
      </c>
      <c r="H639" s="8">
        <v>0.99</v>
      </c>
      <c r="I639" s="4">
        <v>0</v>
      </c>
    </row>
    <row r="640" spans="1:9" x14ac:dyDescent="0.2">
      <c r="A640" s="2">
        <v>11</v>
      </c>
      <c r="B640" s="1" t="s">
        <v>104</v>
      </c>
      <c r="C640" s="4">
        <v>141</v>
      </c>
      <c r="D640" s="8">
        <v>3.31</v>
      </c>
      <c r="E640" s="4">
        <v>76</v>
      </c>
      <c r="F640" s="8">
        <v>4.75</v>
      </c>
      <c r="G640" s="4">
        <v>65</v>
      </c>
      <c r="H640" s="8">
        <v>2.46</v>
      </c>
      <c r="I640" s="4">
        <v>0</v>
      </c>
    </row>
    <row r="641" spans="1:9" x14ac:dyDescent="0.2">
      <c r="A641" s="2">
        <v>12</v>
      </c>
      <c r="B641" s="1" t="s">
        <v>105</v>
      </c>
      <c r="C641" s="4">
        <v>94</v>
      </c>
      <c r="D641" s="8">
        <v>2.21</v>
      </c>
      <c r="E641" s="4">
        <v>38</v>
      </c>
      <c r="F641" s="8">
        <v>2.37</v>
      </c>
      <c r="G641" s="4">
        <v>56</v>
      </c>
      <c r="H641" s="8">
        <v>2.12</v>
      </c>
      <c r="I641" s="4">
        <v>0</v>
      </c>
    </row>
    <row r="642" spans="1:9" x14ac:dyDescent="0.2">
      <c r="A642" s="2">
        <v>13</v>
      </c>
      <c r="B642" s="1" t="s">
        <v>109</v>
      </c>
      <c r="C642" s="4">
        <v>93</v>
      </c>
      <c r="D642" s="8">
        <v>2.19</v>
      </c>
      <c r="E642" s="4">
        <v>46</v>
      </c>
      <c r="F642" s="8">
        <v>2.87</v>
      </c>
      <c r="G642" s="4">
        <v>47</v>
      </c>
      <c r="H642" s="8">
        <v>1.78</v>
      </c>
      <c r="I642" s="4">
        <v>0</v>
      </c>
    </row>
    <row r="643" spans="1:9" x14ac:dyDescent="0.2">
      <c r="A643" s="2">
        <v>14</v>
      </c>
      <c r="B643" s="1" t="s">
        <v>117</v>
      </c>
      <c r="C643" s="4">
        <v>89</v>
      </c>
      <c r="D643" s="8">
        <v>2.09</v>
      </c>
      <c r="E643" s="4">
        <v>15</v>
      </c>
      <c r="F643" s="8">
        <v>0.94</v>
      </c>
      <c r="G643" s="4">
        <v>74</v>
      </c>
      <c r="H643" s="8">
        <v>2.81</v>
      </c>
      <c r="I643" s="4">
        <v>0</v>
      </c>
    </row>
    <row r="644" spans="1:9" x14ac:dyDescent="0.2">
      <c r="A644" s="2">
        <v>15</v>
      </c>
      <c r="B644" s="1" t="s">
        <v>110</v>
      </c>
      <c r="C644" s="4">
        <v>81</v>
      </c>
      <c r="D644" s="8">
        <v>1.9</v>
      </c>
      <c r="E644" s="4">
        <v>15</v>
      </c>
      <c r="F644" s="8">
        <v>0.94</v>
      </c>
      <c r="G644" s="4">
        <v>66</v>
      </c>
      <c r="H644" s="8">
        <v>2.5</v>
      </c>
      <c r="I644" s="4">
        <v>0</v>
      </c>
    </row>
    <row r="645" spans="1:9" x14ac:dyDescent="0.2">
      <c r="A645" s="2">
        <v>16</v>
      </c>
      <c r="B645" s="1" t="s">
        <v>125</v>
      </c>
      <c r="C645" s="4">
        <v>75</v>
      </c>
      <c r="D645" s="8">
        <v>1.76</v>
      </c>
      <c r="E645" s="4">
        <v>20</v>
      </c>
      <c r="F645" s="8">
        <v>1.25</v>
      </c>
      <c r="G645" s="4">
        <v>55</v>
      </c>
      <c r="H645" s="8">
        <v>2.08</v>
      </c>
      <c r="I645" s="4">
        <v>0</v>
      </c>
    </row>
    <row r="646" spans="1:9" x14ac:dyDescent="0.2">
      <c r="A646" s="2">
        <v>17</v>
      </c>
      <c r="B646" s="1" t="s">
        <v>103</v>
      </c>
      <c r="C646" s="4">
        <v>69</v>
      </c>
      <c r="D646" s="8">
        <v>1.62</v>
      </c>
      <c r="E646" s="4">
        <v>28</v>
      </c>
      <c r="F646" s="8">
        <v>1.75</v>
      </c>
      <c r="G646" s="4">
        <v>41</v>
      </c>
      <c r="H646" s="8">
        <v>1.55</v>
      </c>
      <c r="I646" s="4">
        <v>0</v>
      </c>
    </row>
    <row r="647" spans="1:9" x14ac:dyDescent="0.2">
      <c r="A647" s="2">
        <v>18</v>
      </c>
      <c r="B647" s="1" t="s">
        <v>107</v>
      </c>
      <c r="C647" s="4">
        <v>66</v>
      </c>
      <c r="D647" s="8">
        <v>1.55</v>
      </c>
      <c r="E647" s="4">
        <v>2</v>
      </c>
      <c r="F647" s="8">
        <v>0.12</v>
      </c>
      <c r="G647" s="4">
        <v>64</v>
      </c>
      <c r="H647" s="8">
        <v>2.4300000000000002</v>
      </c>
      <c r="I647" s="4">
        <v>0</v>
      </c>
    </row>
    <row r="648" spans="1:9" x14ac:dyDescent="0.2">
      <c r="A648" s="2">
        <v>19</v>
      </c>
      <c r="B648" s="1" t="s">
        <v>113</v>
      </c>
      <c r="C648" s="4">
        <v>65</v>
      </c>
      <c r="D648" s="8">
        <v>1.53</v>
      </c>
      <c r="E648" s="4">
        <v>32</v>
      </c>
      <c r="F648" s="8">
        <v>2</v>
      </c>
      <c r="G648" s="4">
        <v>33</v>
      </c>
      <c r="H648" s="8">
        <v>1.25</v>
      </c>
      <c r="I648" s="4">
        <v>0</v>
      </c>
    </row>
    <row r="649" spans="1:9" x14ac:dyDescent="0.2">
      <c r="A649" s="2">
        <v>20</v>
      </c>
      <c r="B649" s="1" t="s">
        <v>130</v>
      </c>
      <c r="C649" s="4">
        <v>63</v>
      </c>
      <c r="D649" s="8">
        <v>1.48</v>
      </c>
      <c r="E649" s="4">
        <v>15</v>
      </c>
      <c r="F649" s="8">
        <v>0.94</v>
      </c>
      <c r="G649" s="4">
        <v>48</v>
      </c>
      <c r="H649" s="8">
        <v>1.82</v>
      </c>
      <c r="I649" s="4">
        <v>0</v>
      </c>
    </row>
    <row r="650" spans="1:9" x14ac:dyDescent="0.2">
      <c r="A650" s="1"/>
      <c r="C650" s="4"/>
      <c r="D650" s="8"/>
      <c r="E650" s="4"/>
      <c r="F650" s="8"/>
      <c r="G650" s="4"/>
      <c r="H650" s="8"/>
      <c r="I650" s="4"/>
    </row>
    <row r="651" spans="1:9" x14ac:dyDescent="0.2">
      <c r="A651" s="1" t="s">
        <v>29</v>
      </c>
      <c r="C651" s="4"/>
      <c r="D651" s="8"/>
      <c r="E651" s="4"/>
      <c r="F651" s="8"/>
      <c r="G651" s="4"/>
      <c r="H651" s="8"/>
      <c r="I651" s="4"/>
    </row>
    <row r="652" spans="1:9" x14ac:dyDescent="0.2">
      <c r="A652" s="2">
        <v>1</v>
      </c>
      <c r="B652" s="1" t="s">
        <v>112</v>
      </c>
      <c r="C652" s="4">
        <v>618</v>
      </c>
      <c r="D652" s="8">
        <v>10.69</v>
      </c>
      <c r="E652" s="4">
        <v>490</v>
      </c>
      <c r="F652" s="8">
        <v>19.36</v>
      </c>
      <c r="G652" s="4">
        <v>128</v>
      </c>
      <c r="H652" s="8">
        <v>3.96</v>
      </c>
      <c r="I652" s="4">
        <v>0</v>
      </c>
    </row>
    <row r="653" spans="1:9" x14ac:dyDescent="0.2">
      <c r="A653" s="2">
        <v>2</v>
      </c>
      <c r="B653" s="1" t="s">
        <v>111</v>
      </c>
      <c r="C653" s="4">
        <v>598</v>
      </c>
      <c r="D653" s="8">
        <v>10.35</v>
      </c>
      <c r="E653" s="4">
        <v>505</v>
      </c>
      <c r="F653" s="8">
        <v>19.95</v>
      </c>
      <c r="G653" s="4">
        <v>93</v>
      </c>
      <c r="H653" s="8">
        <v>2.88</v>
      </c>
      <c r="I653" s="4">
        <v>0</v>
      </c>
    </row>
    <row r="654" spans="1:9" x14ac:dyDescent="0.2">
      <c r="A654" s="2">
        <v>3</v>
      </c>
      <c r="B654" s="1" t="s">
        <v>108</v>
      </c>
      <c r="C654" s="4">
        <v>347</v>
      </c>
      <c r="D654" s="8">
        <v>6</v>
      </c>
      <c r="E654" s="4">
        <v>87</v>
      </c>
      <c r="F654" s="8">
        <v>3.44</v>
      </c>
      <c r="G654" s="4">
        <v>258</v>
      </c>
      <c r="H654" s="8">
        <v>7.98</v>
      </c>
      <c r="I654" s="4">
        <v>2</v>
      </c>
    </row>
    <row r="655" spans="1:9" x14ac:dyDescent="0.2">
      <c r="A655" s="2">
        <v>4</v>
      </c>
      <c r="B655" s="1" t="s">
        <v>98</v>
      </c>
      <c r="C655" s="4">
        <v>323</v>
      </c>
      <c r="D655" s="8">
        <v>5.59</v>
      </c>
      <c r="E655" s="4">
        <v>62</v>
      </c>
      <c r="F655" s="8">
        <v>2.4500000000000002</v>
      </c>
      <c r="G655" s="4">
        <v>261</v>
      </c>
      <c r="H655" s="8">
        <v>8.07</v>
      </c>
      <c r="I655" s="4">
        <v>0</v>
      </c>
    </row>
    <row r="656" spans="1:9" x14ac:dyDescent="0.2">
      <c r="A656" s="2">
        <v>5</v>
      </c>
      <c r="B656" s="1" t="s">
        <v>106</v>
      </c>
      <c r="C656" s="4">
        <v>315</v>
      </c>
      <c r="D656" s="8">
        <v>5.45</v>
      </c>
      <c r="E656" s="4">
        <v>134</v>
      </c>
      <c r="F656" s="8">
        <v>5.29</v>
      </c>
      <c r="G656" s="4">
        <v>181</v>
      </c>
      <c r="H656" s="8">
        <v>5.6</v>
      </c>
      <c r="I656" s="4">
        <v>0</v>
      </c>
    </row>
    <row r="657" spans="1:9" x14ac:dyDescent="0.2">
      <c r="A657" s="2">
        <v>6</v>
      </c>
      <c r="B657" s="1" t="s">
        <v>97</v>
      </c>
      <c r="C657" s="4">
        <v>273</v>
      </c>
      <c r="D657" s="8">
        <v>4.72</v>
      </c>
      <c r="E657" s="4">
        <v>42</v>
      </c>
      <c r="F657" s="8">
        <v>1.66</v>
      </c>
      <c r="G657" s="4">
        <v>231</v>
      </c>
      <c r="H657" s="8">
        <v>7.14</v>
      </c>
      <c r="I657" s="4">
        <v>0</v>
      </c>
    </row>
    <row r="658" spans="1:9" x14ac:dyDescent="0.2">
      <c r="A658" s="2">
        <v>7</v>
      </c>
      <c r="B658" s="1" t="s">
        <v>114</v>
      </c>
      <c r="C658" s="4">
        <v>249</v>
      </c>
      <c r="D658" s="8">
        <v>4.3099999999999996</v>
      </c>
      <c r="E658" s="4">
        <v>179</v>
      </c>
      <c r="F658" s="8">
        <v>7.07</v>
      </c>
      <c r="G658" s="4">
        <v>68</v>
      </c>
      <c r="H658" s="8">
        <v>2.1</v>
      </c>
      <c r="I658" s="4">
        <v>0</v>
      </c>
    </row>
    <row r="659" spans="1:9" x14ac:dyDescent="0.2">
      <c r="A659" s="2">
        <v>8</v>
      </c>
      <c r="B659" s="1" t="s">
        <v>115</v>
      </c>
      <c r="C659" s="4">
        <v>231</v>
      </c>
      <c r="D659" s="8">
        <v>4</v>
      </c>
      <c r="E659" s="4">
        <v>199</v>
      </c>
      <c r="F659" s="8">
        <v>7.86</v>
      </c>
      <c r="G659" s="4">
        <v>32</v>
      </c>
      <c r="H659" s="8">
        <v>0.99</v>
      </c>
      <c r="I659" s="4">
        <v>0</v>
      </c>
    </row>
    <row r="660" spans="1:9" x14ac:dyDescent="0.2">
      <c r="A660" s="2">
        <v>9</v>
      </c>
      <c r="B660" s="1" t="s">
        <v>99</v>
      </c>
      <c r="C660" s="4">
        <v>203</v>
      </c>
      <c r="D660" s="8">
        <v>3.51</v>
      </c>
      <c r="E660" s="4">
        <v>30</v>
      </c>
      <c r="F660" s="8">
        <v>1.19</v>
      </c>
      <c r="G660" s="4">
        <v>173</v>
      </c>
      <c r="H660" s="8">
        <v>5.35</v>
      </c>
      <c r="I660" s="4">
        <v>0</v>
      </c>
    </row>
    <row r="661" spans="1:9" x14ac:dyDescent="0.2">
      <c r="A661" s="2">
        <v>10</v>
      </c>
      <c r="B661" s="1" t="s">
        <v>104</v>
      </c>
      <c r="C661" s="4">
        <v>193</v>
      </c>
      <c r="D661" s="8">
        <v>3.34</v>
      </c>
      <c r="E661" s="4">
        <v>133</v>
      </c>
      <c r="F661" s="8">
        <v>5.25</v>
      </c>
      <c r="G661" s="4">
        <v>60</v>
      </c>
      <c r="H661" s="8">
        <v>1.86</v>
      </c>
      <c r="I661" s="4">
        <v>0</v>
      </c>
    </row>
    <row r="662" spans="1:9" x14ac:dyDescent="0.2">
      <c r="A662" s="2">
        <v>11</v>
      </c>
      <c r="B662" s="1" t="s">
        <v>103</v>
      </c>
      <c r="C662" s="4">
        <v>190</v>
      </c>
      <c r="D662" s="8">
        <v>3.29</v>
      </c>
      <c r="E662" s="4">
        <v>52</v>
      </c>
      <c r="F662" s="8">
        <v>2.0499999999999998</v>
      </c>
      <c r="G662" s="4">
        <v>138</v>
      </c>
      <c r="H662" s="8">
        <v>4.2699999999999996</v>
      </c>
      <c r="I662" s="4">
        <v>0</v>
      </c>
    </row>
    <row r="663" spans="1:9" x14ac:dyDescent="0.2">
      <c r="A663" s="2">
        <v>12</v>
      </c>
      <c r="B663" s="1" t="s">
        <v>109</v>
      </c>
      <c r="C663" s="4">
        <v>180</v>
      </c>
      <c r="D663" s="8">
        <v>3.11</v>
      </c>
      <c r="E663" s="4">
        <v>128</v>
      </c>
      <c r="F663" s="8">
        <v>5.0599999999999996</v>
      </c>
      <c r="G663" s="4">
        <v>52</v>
      </c>
      <c r="H663" s="8">
        <v>1.61</v>
      </c>
      <c r="I663" s="4">
        <v>0</v>
      </c>
    </row>
    <row r="664" spans="1:9" x14ac:dyDescent="0.2">
      <c r="A664" s="2">
        <v>13</v>
      </c>
      <c r="B664" s="1" t="s">
        <v>105</v>
      </c>
      <c r="C664" s="4">
        <v>162</v>
      </c>
      <c r="D664" s="8">
        <v>2.8</v>
      </c>
      <c r="E664" s="4">
        <v>65</v>
      </c>
      <c r="F664" s="8">
        <v>2.57</v>
      </c>
      <c r="G664" s="4">
        <v>97</v>
      </c>
      <c r="H664" s="8">
        <v>3</v>
      </c>
      <c r="I664" s="4">
        <v>0</v>
      </c>
    </row>
    <row r="665" spans="1:9" x14ac:dyDescent="0.2">
      <c r="A665" s="2">
        <v>14</v>
      </c>
      <c r="B665" s="1" t="s">
        <v>107</v>
      </c>
      <c r="C665" s="4">
        <v>140</v>
      </c>
      <c r="D665" s="8">
        <v>2.42</v>
      </c>
      <c r="E665" s="4">
        <v>11</v>
      </c>
      <c r="F665" s="8">
        <v>0.43</v>
      </c>
      <c r="G665" s="4">
        <v>129</v>
      </c>
      <c r="H665" s="8">
        <v>3.99</v>
      </c>
      <c r="I665" s="4">
        <v>0</v>
      </c>
    </row>
    <row r="666" spans="1:9" x14ac:dyDescent="0.2">
      <c r="A666" s="2">
        <v>15</v>
      </c>
      <c r="B666" s="1" t="s">
        <v>100</v>
      </c>
      <c r="C666" s="4">
        <v>121</v>
      </c>
      <c r="D666" s="8">
        <v>2.09</v>
      </c>
      <c r="E666" s="4">
        <v>31</v>
      </c>
      <c r="F666" s="8">
        <v>1.22</v>
      </c>
      <c r="G666" s="4">
        <v>90</v>
      </c>
      <c r="H666" s="8">
        <v>2.78</v>
      </c>
      <c r="I666" s="4">
        <v>0</v>
      </c>
    </row>
    <row r="667" spans="1:9" x14ac:dyDescent="0.2">
      <c r="A667" s="2">
        <v>16</v>
      </c>
      <c r="B667" s="1" t="s">
        <v>113</v>
      </c>
      <c r="C667" s="4">
        <v>119</v>
      </c>
      <c r="D667" s="8">
        <v>2.06</v>
      </c>
      <c r="E667" s="4">
        <v>54</v>
      </c>
      <c r="F667" s="8">
        <v>2.13</v>
      </c>
      <c r="G667" s="4">
        <v>65</v>
      </c>
      <c r="H667" s="8">
        <v>2.0099999999999998</v>
      </c>
      <c r="I667" s="4">
        <v>0</v>
      </c>
    </row>
    <row r="668" spans="1:9" x14ac:dyDescent="0.2">
      <c r="A668" s="2">
        <v>17</v>
      </c>
      <c r="B668" s="1" t="s">
        <v>110</v>
      </c>
      <c r="C668" s="4">
        <v>98</v>
      </c>
      <c r="D668" s="8">
        <v>1.7</v>
      </c>
      <c r="E668" s="4">
        <v>30</v>
      </c>
      <c r="F668" s="8">
        <v>1.19</v>
      </c>
      <c r="G668" s="4">
        <v>67</v>
      </c>
      <c r="H668" s="8">
        <v>2.0699999999999998</v>
      </c>
      <c r="I668" s="4">
        <v>0</v>
      </c>
    </row>
    <row r="669" spans="1:9" x14ac:dyDescent="0.2">
      <c r="A669" s="2">
        <v>18</v>
      </c>
      <c r="B669" s="1" t="s">
        <v>102</v>
      </c>
      <c r="C669" s="4">
        <v>96</v>
      </c>
      <c r="D669" s="8">
        <v>1.66</v>
      </c>
      <c r="E669" s="4">
        <v>9</v>
      </c>
      <c r="F669" s="8">
        <v>0.36</v>
      </c>
      <c r="G669" s="4">
        <v>87</v>
      </c>
      <c r="H669" s="8">
        <v>2.69</v>
      </c>
      <c r="I669" s="4">
        <v>0</v>
      </c>
    </row>
    <row r="670" spans="1:9" x14ac:dyDescent="0.2">
      <c r="A670" s="2">
        <v>19</v>
      </c>
      <c r="B670" s="1" t="s">
        <v>117</v>
      </c>
      <c r="C670" s="4">
        <v>95</v>
      </c>
      <c r="D670" s="8">
        <v>1.64</v>
      </c>
      <c r="E670" s="4">
        <v>16</v>
      </c>
      <c r="F670" s="8">
        <v>0.63</v>
      </c>
      <c r="G670" s="4">
        <v>79</v>
      </c>
      <c r="H670" s="8">
        <v>2.44</v>
      </c>
      <c r="I670" s="4">
        <v>0</v>
      </c>
    </row>
    <row r="671" spans="1:9" x14ac:dyDescent="0.2">
      <c r="A671" s="2">
        <v>20</v>
      </c>
      <c r="B671" s="1" t="s">
        <v>101</v>
      </c>
      <c r="C671" s="4">
        <v>92</v>
      </c>
      <c r="D671" s="8">
        <v>1.59</v>
      </c>
      <c r="E671" s="4">
        <v>12</v>
      </c>
      <c r="F671" s="8">
        <v>0.47</v>
      </c>
      <c r="G671" s="4">
        <v>80</v>
      </c>
      <c r="H671" s="8">
        <v>2.4700000000000002</v>
      </c>
      <c r="I671" s="4">
        <v>0</v>
      </c>
    </row>
    <row r="672" spans="1:9" x14ac:dyDescent="0.2">
      <c r="A672" s="1"/>
      <c r="C672" s="4"/>
      <c r="D672" s="8"/>
      <c r="E672" s="4"/>
      <c r="F672" s="8"/>
      <c r="G672" s="4"/>
      <c r="H672" s="8"/>
      <c r="I672" s="4"/>
    </row>
    <row r="673" spans="1:9" x14ac:dyDescent="0.2">
      <c r="A673" s="1" t="s">
        <v>30</v>
      </c>
      <c r="C673" s="4"/>
      <c r="D673" s="8"/>
      <c r="E673" s="4"/>
      <c r="F673" s="8"/>
      <c r="G673" s="4"/>
      <c r="H673" s="8"/>
      <c r="I673" s="4"/>
    </row>
    <row r="674" spans="1:9" x14ac:dyDescent="0.2">
      <c r="A674" s="2">
        <v>1</v>
      </c>
      <c r="B674" s="1" t="s">
        <v>108</v>
      </c>
      <c r="C674" s="4">
        <v>217</v>
      </c>
      <c r="D674" s="8">
        <v>14.06</v>
      </c>
      <c r="E674" s="4">
        <v>82</v>
      </c>
      <c r="F674" s="8">
        <v>11.61</v>
      </c>
      <c r="G674" s="4">
        <v>135</v>
      </c>
      <c r="H674" s="8">
        <v>16.32</v>
      </c>
      <c r="I674" s="4">
        <v>0</v>
      </c>
    </row>
    <row r="675" spans="1:9" x14ac:dyDescent="0.2">
      <c r="A675" s="2">
        <v>2</v>
      </c>
      <c r="B675" s="1" t="s">
        <v>111</v>
      </c>
      <c r="C675" s="4">
        <v>192</v>
      </c>
      <c r="D675" s="8">
        <v>12.44</v>
      </c>
      <c r="E675" s="4">
        <v>168</v>
      </c>
      <c r="F675" s="8">
        <v>23.8</v>
      </c>
      <c r="G675" s="4">
        <v>24</v>
      </c>
      <c r="H675" s="8">
        <v>2.9</v>
      </c>
      <c r="I675" s="4">
        <v>0</v>
      </c>
    </row>
    <row r="676" spans="1:9" x14ac:dyDescent="0.2">
      <c r="A676" s="2">
        <v>3</v>
      </c>
      <c r="B676" s="1" t="s">
        <v>112</v>
      </c>
      <c r="C676" s="4">
        <v>162</v>
      </c>
      <c r="D676" s="8">
        <v>10.5</v>
      </c>
      <c r="E676" s="4">
        <v>136</v>
      </c>
      <c r="F676" s="8">
        <v>19.260000000000002</v>
      </c>
      <c r="G676" s="4">
        <v>26</v>
      </c>
      <c r="H676" s="8">
        <v>3.14</v>
      </c>
      <c r="I676" s="4">
        <v>0</v>
      </c>
    </row>
    <row r="677" spans="1:9" x14ac:dyDescent="0.2">
      <c r="A677" s="2">
        <v>4</v>
      </c>
      <c r="B677" s="1" t="s">
        <v>106</v>
      </c>
      <c r="C677" s="4">
        <v>79</v>
      </c>
      <c r="D677" s="8">
        <v>5.12</v>
      </c>
      <c r="E677" s="4">
        <v>33</v>
      </c>
      <c r="F677" s="8">
        <v>4.67</v>
      </c>
      <c r="G677" s="4">
        <v>46</v>
      </c>
      <c r="H677" s="8">
        <v>5.56</v>
      </c>
      <c r="I677" s="4">
        <v>0</v>
      </c>
    </row>
    <row r="678" spans="1:9" x14ac:dyDescent="0.2">
      <c r="A678" s="2">
        <v>5</v>
      </c>
      <c r="B678" s="1" t="s">
        <v>98</v>
      </c>
      <c r="C678" s="4">
        <v>78</v>
      </c>
      <c r="D678" s="8">
        <v>5.0599999999999996</v>
      </c>
      <c r="E678" s="4">
        <v>13</v>
      </c>
      <c r="F678" s="8">
        <v>1.84</v>
      </c>
      <c r="G678" s="4">
        <v>65</v>
      </c>
      <c r="H678" s="8">
        <v>7.86</v>
      </c>
      <c r="I678" s="4">
        <v>0</v>
      </c>
    </row>
    <row r="679" spans="1:9" x14ac:dyDescent="0.2">
      <c r="A679" s="2">
        <v>6</v>
      </c>
      <c r="B679" s="1" t="s">
        <v>115</v>
      </c>
      <c r="C679" s="4">
        <v>64</v>
      </c>
      <c r="D679" s="8">
        <v>4.1500000000000004</v>
      </c>
      <c r="E679" s="4">
        <v>51</v>
      </c>
      <c r="F679" s="8">
        <v>7.22</v>
      </c>
      <c r="G679" s="4">
        <v>13</v>
      </c>
      <c r="H679" s="8">
        <v>1.57</v>
      </c>
      <c r="I679" s="4">
        <v>0</v>
      </c>
    </row>
    <row r="680" spans="1:9" x14ac:dyDescent="0.2">
      <c r="A680" s="2">
        <v>7</v>
      </c>
      <c r="B680" s="1" t="s">
        <v>104</v>
      </c>
      <c r="C680" s="4">
        <v>63</v>
      </c>
      <c r="D680" s="8">
        <v>4.08</v>
      </c>
      <c r="E680" s="4">
        <v>33</v>
      </c>
      <c r="F680" s="8">
        <v>4.67</v>
      </c>
      <c r="G680" s="4">
        <v>30</v>
      </c>
      <c r="H680" s="8">
        <v>3.63</v>
      </c>
      <c r="I680" s="4">
        <v>0</v>
      </c>
    </row>
    <row r="681" spans="1:9" x14ac:dyDescent="0.2">
      <c r="A681" s="2">
        <v>8</v>
      </c>
      <c r="B681" s="1" t="s">
        <v>99</v>
      </c>
      <c r="C681" s="4">
        <v>58</v>
      </c>
      <c r="D681" s="8">
        <v>3.76</v>
      </c>
      <c r="E681" s="4">
        <v>6</v>
      </c>
      <c r="F681" s="8">
        <v>0.85</v>
      </c>
      <c r="G681" s="4">
        <v>52</v>
      </c>
      <c r="H681" s="8">
        <v>6.29</v>
      </c>
      <c r="I681" s="4">
        <v>0</v>
      </c>
    </row>
    <row r="682" spans="1:9" x14ac:dyDescent="0.2">
      <c r="A682" s="2">
        <v>9</v>
      </c>
      <c r="B682" s="1" t="s">
        <v>114</v>
      </c>
      <c r="C682" s="4">
        <v>57</v>
      </c>
      <c r="D682" s="8">
        <v>3.69</v>
      </c>
      <c r="E682" s="4">
        <v>40</v>
      </c>
      <c r="F682" s="8">
        <v>5.67</v>
      </c>
      <c r="G682" s="4">
        <v>13</v>
      </c>
      <c r="H682" s="8">
        <v>1.57</v>
      </c>
      <c r="I682" s="4">
        <v>0</v>
      </c>
    </row>
    <row r="683" spans="1:9" x14ac:dyDescent="0.2">
      <c r="A683" s="2">
        <v>10</v>
      </c>
      <c r="B683" s="1" t="s">
        <v>97</v>
      </c>
      <c r="C683" s="4">
        <v>54</v>
      </c>
      <c r="D683" s="8">
        <v>3.5</v>
      </c>
      <c r="E683" s="4">
        <v>11</v>
      </c>
      <c r="F683" s="8">
        <v>1.56</v>
      </c>
      <c r="G683" s="4">
        <v>43</v>
      </c>
      <c r="H683" s="8">
        <v>5.2</v>
      </c>
      <c r="I683" s="4">
        <v>0</v>
      </c>
    </row>
    <row r="684" spans="1:9" x14ac:dyDescent="0.2">
      <c r="A684" s="2">
        <v>11</v>
      </c>
      <c r="B684" s="1" t="s">
        <v>103</v>
      </c>
      <c r="C684" s="4">
        <v>35</v>
      </c>
      <c r="D684" s="8">
        <v>2.27</v>
      </c>
      <c r="E684" s="4">
        <v>21</v>
      </c>
      <c r="F684" s="8">
        <v>2.97</v>
      </c>
      <c r="G684" s="4">
        <v>14</v>
      </c>
      <c r="H684" s="8">
        <v>1.69</v>
      </c>
      <c r="I684" s="4">
        <v>0</v>
      </c>
    </row>
    <row r="685" spans="1:9" x14ac:dyDescent="0.2">
      <c r="A685" s="2">
        <v>12</v>
      </c>
      <c r="B685" s="1" t="s">
        <v>107</v>
      </c>
      <c r="C685" s="4">
        <v>34</v>
      </c>
      <c r="D685" s="8">
        <v>2.2000000000000002</v>
      </c>
      <c r="E685" s="4">
        <v>4</v>
      </c>
      <c r="F685" s="8">
        <v>0.56999999999999995</v>
      </c>
      <c r="G685" s="4">
        <v>30</v>
      </c>
      <c r="H685" s="8">
        <v>3.63</v>
      </c>
      <c r="I685" s="4">
        <v>0</v>
      </c>
    </row>
    <row r="686" spans="1:9" x14ac:dyDescent="0.2">
      <c r="A686" s="2">
        <v>12</v>
      </c>
      <c r="B686" s="1" t="s">
        <v>109</v>
      </c>
      <c r="C686" s="4">
        <v>34</v>
      </c>
      <c r="D686" s="8">
        <v>2.2000000000000002</v>
      </c>
      <c r="E686" s="4">
        <v>20</v>
      </c>
      <c r="F686" s="8">
        <v>2.83</v>
      </c>
      <c r="G686" s="4">
        <v>14</v>
      </c>
      <c r="H686" s="8">
        <v>1.69</v>
      </c>
      <c r="I686" s="4">
        <v>0</v>
      </c>
    </row>
    <row r="687" spans="1:9" x14ac:dyDescent="0.2">
      <c r="A687" s="2">
        <v>14</v>
      </c>
      <c r="B687" s="1" t="s">
        <v>110</v>
      </c>
      <c r="C687" s="4">
        <v>28</v>
      </c>
      <c r="D687" s="8">
        <v>1.81</v>
      </c>
      <c r="E687" s="4">
        <v>8</v>
      </c>
      <c r="F687" s="8">
        <v>1.1299999999999999</v>
      </c>
      <c r="G687" s="4">
        <v>20</v>
      </c>
      <c r="H687" s="8">
        <v>2.42</v>
      </c>
      <c r="I687" s="4">
        <v>0</v>
      </c>
    </row>
    <row r="688" spans="1:9" x14ac:dyDescent="0.2">
      <c r="A688" s="2">
        <v>15</v>
      </c>
      <c r="B688" s="1" t="s">
        <v>105</v>
      </c>
      <c r="C688" s="4">
        <v>27</v>
      </c>
      <c r="D688" s="8">
        <v>1.75</v>
      </c>
      <c r="E688" s="4">
        <v>14</v>
      </c>
      <c r="F688" s="8">
        <v>1.98</v>
      </c>
      <c r="G688" s="4">
        <v>13</v>
      </c>
      <c r="H688" s="8">
        <v>1.57</v>
      </c>
      <c r="I688" s="4">
        <v>0</v>
      </c>
    </row>
    <row r="689" spans="1:9" x14ac:dyDescent="0.2">
      <c r="A689" s="2">
        <v>16</v>
      </c>
      <c r="B689" s="1" t="s">
        <v>117</v>
      </c>
      <c r="C689" s="4">
        <v>25</v>
      </c>
      <c r="D689" s="8">
        <v>1.62</v>
      </c>
      <c r="E689" s="4">
        <v>2</v>
      </c>
      <c r="F689" s="8">
        <v>0.28000000000000003</v>
      </c>
      <c r="G689" s="4">
        <v>23</v>
      </c>
      <c r="H689" s="8">
        <v>2.78</v>
      </c>
      <c r="I689" s="4">
        <v>0</v>
      </c>
    </row>
    <row r="690" spans="1:9" x14ac:dyDescent="0.2">
      <c r="A690" s="2">
        <v>16</v>
      </c>
      <c r="B690" s="1" t="s">
        <v>113</v>
      </c>
      <c r="C690" s="4">
        <v>25</v>
      </c>
      <c r="D690" s="8">
        <v>1.62</v>
      </c>
      <c r="E690" s="4">
        <v>9</v>
      </c>
      <c r="F690" s="8">
        <v>1.27</v>
      </c>
      <c r="G690" s="4">
        <v>16</v>
      </c>
      <c r="H690" s="8">
        <v>1.93</v>
      </c>
      <c r="I690" s="4">
        <v>0</v>
      </c>
    </row>
    <row r="691" spans="1:9" x14ac:dyDescent="0.2">
      <c r="A691" s="2">
        <v>16</v>
      </c>
      <c r="B691" s="1" t="s">
        <v>118</v>
      </c>
      <c r="C691" s="4">
        <v>25</v>
      </c>
      <c r="D691" s="8">
        <v>1.62</v>
      </c>
      <c r="E691" s="4">
        <v>1</v>
      </c>
      <c r="F691" s="8">
        <v>0.14000000000000001</v>
      </c>
      <c r="G691" s="4">
        <v>20</v>
      </c>
      <c r="H691" s="8">
        <v>2.42</v>
      </c>
      <c r="I691" s="4">
        <v>0</v>
      </c>
    </row>
    <row r="692" spans="1:9" x14ac:dyDescent="0.2">
      <c r="A692" s="2">
        <v>19</v>
      </c>
      <c r="B692" s="1" t="s">
        <v>101</v>
      </c>
      <c r="C692" s="4">
        <v>20</v>
      </c>
      <c r="D692" s="8">
        <v>1.3</v>
      </c>
      <c r="E692" s="4">
        <v>3</v>
      </c>
      <c r="F692" s="8">
        <v>0.42</v>
      </c>
      <c r="G692" s="4">
        <v>17</v>
      </c>
      <c r="H692" s="8">
        <v>2.06</v>
      </c>
      <c r="I692" s="4">
        <v>0</v>
      </c>
    </row>
    <row r="693" spans="1:9" x14ac:dyDescent="0.2">
      <c r="A693" s="2">
        <v>20</v>
      </c>
      <c r="B693" s="1" t="s">
        <v>102</v>
      </c>
      <c r="C693" s="4">
        <v>16</v>
      </c>
      <c r="D693" s="8">
        <v>1.04</v>
      </c>
      <c r="E693" s="4">
        <v>2</v>
      </c>
      <c r="F693" s="8">
        <v>0.28000000000000003</v>
      </c>
      <c r="G693" s="4">
        <v>14</v>
      </c>
      <c r="H693" s="8">
        <v>1.69</v>
      </c>
      <c r="I693" s="4">
        <v>0</v>
      </c>
    </row>
    <row r="694" spans="1:9" x14ac:dyDescent="0.2">
      <c r="A694" s="2">
        <v>20</v>
      </c>
      <c r="B694" s="1" t="s">
        <v>122</v>
      </c>
      <c r="C694" s="4">
        <v>16</v>
      </c>
      <c r="D694" s="8">
        <v>1.04</v>
      </c>
      <c r="E694" s="4">
        <v>2</v>
      </c>
      <c r="F694" s="8">
        <v>0.28000000000000003</v>
      </c>
      <c r="G694" s="4">
        <v>14</v>
      </c>
      <c r="H694" s="8">
        <v>1.69</v>
      </c>
      <c r="I694" s="4">
        <v>0</v>
      </c>
    </row>
    <row r="695" spans="1:9" x14ac:dyDescent="0.2">
      <c r="A695" s="1"/>
      <c r="C695" s="4"/>
      <c r="D695" s="8"/>
      <c r="E695" s="4"/>
      <c r="F695" s="8"/>
      <c r="G695" s="4"/>
      <c r="H695" s="8"/>
      <c r="I695" s="4"/>
    </row>
    <row r="696" spans="1:9" x14ac:dyDescent="0.2">
      <c r="A696" s="1" t="s">
        <v>31</v>
      </c>
      <c r="C696" s="4"/>
      <c r="D696" s="8"/>
      <c r="E696" s="4"/>
      <c r="F696" s="8"/>
      <c r="G696" s="4"/>
      <c r="H696" s="8"/>
      <c r="I696" s="4"/>
    </row>
    <row r="697" spans="1:9" x14ac:dyDescent="0.2">
      <c r="A697" s="2">
        <v>1</v>
      </c>
      <c r="B697" s="1" t="s">
        <v>108</v>
      </c>
      <c r="C697" s="4">
        <v>524</v>
      </c>
      <c r="D697" s="8">
        <v>17.96</v>
      </c>
      <c r="E697" s="4">
        <v>131</v>
      </c>
      <c r="F697" s="8">
        <v>14.35</v>
      </c>
      <c r="G697" s="4">
        <v>393</v>
      </c>
      <c r="H697" s="8">
        <v>19.690000000000001</v>
      </c>
      <c r="I697" s="4">
        <v>0</v>
      </c>
    </row>
    <row r="698" spans="1:9" x14ac:dyDescent="0.2">
      <c r="A698" s="2">
        <v>2</v>
      </c>
      <c r="B698" s="1" t="s">
        <v>112</v>
      </c>
      <c r="C698" s="4">
        <v>208</v>
      </c>
      <c r="D698" s="8">
        <v>7.13</v>
      </c>
      <c r="E698" s="4">
        <v>157</v>
      </c>
      <c r="F698" s="8">
        <v>17.2</v>
      </c>
      <c r="G698" s="4">
        <v>51</v>
      </c>
      <c r="H698" s="8">
        <v>2.56</v>
      </c>
      <c r="I698" s="4">
        <v>0</v>
      </c>
    </row>
    <row r="699" spans="1:9" x14ac:dyDescent="0.2">
      <c r="A699" s="2">
        <v>3</v>
      </c>
      <c r="B699" s="1" t="s">
        <v>111</v>
      </c>
      <c r="C699" s="4">
        <v>172</v>
      </c>
      <c r="D699" s="8">
        <v>5.9</v>
      </c>
      <c r="E699" s="4">
        <v>134</v>
      </c>
      <c r="F699" s="8">
        <v>14.68</v>
      </c>
      <c r="G699" s="4">
        <v>38</v>
      </c>
      <c r="H699" s="8">
        <v>1.9</v>
      </c>
      <c r="I699" s="4">
        <v>0</v>
      </c>
    </row>
    <row r="700" spans="1:9" x14ac:dyDescent="0.2">
      <c r="A700" s="2">
        <v>4</v>
      </c>
      <c r="B700" s="1" t="s">
        <v>98</v>
      </c>
      <c r="C700" s="4">
        <v>150</v>
      </c>
      <c r="D700" s="8">
        <v>5.14</v>
      </c>
      <c r="E700" s="4">
        <v>22</v>
      </c>
      <c r="F700" s="8">
        <v>2.41</v>
      </c>
      <c r="G700" s="4">
        <v>128</v>
      </c>
      <c r="H700" s="8">
        <v>6.41</v>
      </c>
      <c r="I700" s="4">
        <v>0</v>
      </c>
    </row>
    <row r="701" spans="1:9" x14ac:dyDescent="0.2">
      <c r="A701" s="2">
        <v>5</v>
      </c>
      <c r="B701" s="1" t="s">
        <v>97</v>
      </c>
      <c r="C701" s="4">
        <v>135</v>
      </c>
      <c r="D701" s="8">
        <v>4.63</v>
      </c>
      <c r="E701" s="4">
        <v>10</v>
      </c>
      <c r="F701" s="8">
        <v>1.1000000000000001</v>
      </c>
      <c r="G701" s="4">
        <v>125</v>
      </c>
      <c r="H701" s="8">
        <v>6.26</v>
      </c>
      <c r="I701" s="4">
        <v>0</v>
      </c>
    </row>
    <row r="702" spans="1:9" x14ac:dyDescent="0.2">
      <c r="A702" s="2">
        <v>6</v>
      </c>
      <c r="B702" s="1" t="s">
        <v>99</v>
      </c>
      <c r="C702" s="4">
        <v>115</v>
      </c>
      <c r="D702" s="8">
        <v>3.94</v>
      </c>
      <c r="E702" s="4">
        <v>11</v>
      </c>
      <c r="F702" s="8">
        <v>1.2</v>
      </c>
      <c r="G702" s="4">
        <v>104</v>
      </c>
      <c r="H702" s="8">
        <v>5.21</v>
      </c>
      <c r="I702" s="4">
        <v>0</v>
      </c>
    </row>
    <row r="703" spans="1:9" x14ac:dyDescent="0.2">
      <c r="A703" s="2">
        <v>7</v>
      </c>
      <c r="B703" s="1" t="s">
        <v>114</v>
      </c>
      <c r="C703" s="4">
        <v>110</v>
      </c>
      <c r="D703" s="8">
        <v>3.77</v>
      </c>
      <c r="E703" s="4">
        <v>73</v>
      </c>
      <c r="F703" s="8">
        <v>8</v>
      </c>
      <c r="G703" s="4">
        <v>36</v>
      </c>
      <c r="H703" s="8">
        <v>1.8</v>
      </c>
      <c r="I703" s="4">
        <v>0</v>
      </c>
    </row>
    <row r="704" spans="1:9" x14ac:dyDescent="0.2">
      <c r="A704" s="2">
        <v>8</v>
      </c>
      <c r="B704" s="1" t="s">
        <v>100</v>
      </c>
      <c r="C704" s="4">
        <v>90</v>
      </c>
      <c r="D704" s="8">
        <v>3.09</v>
      </c>
      <c r="E704" s="4">
        <v>13</v>
      </c>
      <c r="F704" s="8">
        <v>1.42</v>
      </c>
      <c r="G704" s="4">
        <v>77</v>
      </c>
      <c r="H704" s="8">
        <v>3.86</v>
      </c>
      <c r="I704" s="4">
        <v>0</v>
      </c>
    </row>
    <row r="705" spans="1:9" x14ac:dyDescent="0.2">
      <c r="A705" s="2">
        <v>9</v>
      </c>
      <c r="B705" s="1" t="s">
        <v>131</v>
      </c>
      <c r="C705" s="4">
        <v>87</v>
      </c>
      <c r="D705" s="8">
        <v>2.98</v>
      </c>
      <c r="E705" s="4">
        <v>13</v>
      </c>
      <c r="F705" s="8">
        <v>1.42</v>
      </c>
      <c r="G705" s="4">
        <v>74</v>
      </c>
      <c r="H705" s="8">
        <v>3.71</v>
      </c>
      <c r="I705" s="4">
        <v>0</v>
      </c>
    </row>
    <row r="706" spans="1:9" x14ac:dyDescent="0.2">
      <c r="A706" s="2">
        <v>10</v>
      </c>
      <c r="B706" s="1" t="s">
        <v>106</v>
      </c>
      <c r="C706" s="4">
        <v>86</v>
      </c>
      <c r="D706" s="8">
        <v>2.95</v>
      </c>
      <c r="E706" s="4">
        <v>33</v>
      </c>
      <c r="F706" s="8">
        <v>3.61</v>
      </c>
      <c r="G706" s="4">
        <v>53</v>
      </c>
      <c r="H706" s="8">
        <v>2.66</v>
      </c>
      <c r="I706" s="4">
        <v>0</v>
      </c>
    </row>
    <row r="707" spans="1:9" x14ac:dyDescent="0.2">
      <c r="A707" s="2">
        <v>11</v>
      </c>
      <c r="B707" s="1" t="s">
        <v>109</v>
      </c>
      <c r="C707" s="4">
        <v>79</v>
      </c>
      <c r="D707" s="8">
        <v>2.71</v>
      </c>
      <c r="E707" s="4">
        <v>37</v>
      </c>
      <c r="F707" s="8">
        <v>4.05</v>
      </c>
      <c r="G707" s="4">
        <v>42</v>
      </c>
      <c r="H707" s="8">
        <v>2.1</v>
      </c>
      <c r="I707" s="4">
        <v>0</v>
      </c>
    </row>
    <row r="708" spans="1:9" x14ac:dyDescent="0.2">
      <c r="A708" s="2">
        <v>11</v>
      </c>
      <c r="B708" s="1" t="s">
        <v>115</v>
      </c>
      <c r="C708" s="4">
        <v>79</v>
      </c>
      <c r="D708" s="8">
        <v>2.71</v>
      </c>
      <c r="E708" s="4">
        <v>65</v>
      </c>
      <c r="F708" s="8">
        <v>7.12</v>
      </c>
      <c r="G708" s="4">
        <v>13</v>
      </c>
      <c r="H708" s="8">
        <v>0.65</v>
      </c>
      <c r="I708" s="4">
        <v>0</v>
      </c>
    </row>
    <row r="709" spans="1:9" x14ac:dyDescent="0.2">
      <c r="A709" s="2">
        <v>13</v>
      </c>
      <c r="B709" s="1" t="s">
        <v>120</v>
      </c>
      <c r="C709" s="4">
        <v>67</v>
      </c>
      <c r="D709" s="8">
        <v>2.2999999999999998</v>
      </c>
      <c r="E709" s="4">
        <v>6</v>
      </c>
      <c r="F709" s="8">
        <v>0.66</v>
      </c>
      <c r="G709" s="4">
        <v>61</v>
      </c>
      <c r="H709" s="8">
        <v>3.06</v>
      </c>
      <c r="I709" s="4">
        <v>0</v>
      </c>
    </row>
    <row r="710" spans="1:9" x14ac:dyDescent="0.2">
      <c r="A710" s="2">
        <v>14</v>
      </c>
      <c r="B710" s="1" t="s">
        <v>105</v>
      </c>
      <c r="C710" s="4">
        <v>66</v>
      </c>
      <c r="D710" s="8">
        <v>2.2599999999999998</v>
      </c>
      <c r="E710" s="4">
        <v>23</v>
      </c>
      <c r="F710" s="8">
        <v>2.52</v>
      </c>
      <c r="G710" s="4">
        <v>43</v>
      </c>
      <c r="H710" s="8">
        <v>2.15</v>
      </c>
      <c r="I710" s="4">
        <v>0</v>
      </c>
    </row>
    <row r="711" spans="1:9" x14ac:dyDescent="0.2">
      <c r="A711" s="2">
        <v>15</v>
      </c>
      <c r="B711" s="1" t="s">
        <v>101</v>
      </c>
      <c r="C711" s="4">
        <v>63</v>
      </c>
      <c r="D711" s="8">
        <v>2.16</v>
      </c>
      <c r="E711" s="4">
        <v>6</v>
      </c>
      <c r="F711" s="8">
        <v>0.66</v>
      </c>
      <c r="G711" s="4">
        <v>57</v>
      </c>
      <c r="H711" s="8">
        <v>2.86</v>
      </c>
      <c r="I711" s="4">
        <v>0</v>
      </c>
    </row>
    <row r="712" spans="1:9" x14ac:dyDescent="0.2">
      <c r="A712" s="2">
        <v>16</v>
      </c>
      <c r="B712" s="1" t="s">
        <v>104</v>
      </c>
      <c r="C712" s="4">
        <v>56</v>
      </c>
      <c r="D712" s="8">
        <v>1.92</v>
      </c>
      <c r="E712" s="4">
        <v>39</v>
      </c>
      <c r="F712" s="8">
        <v>4.2699999999999996</v>
      </c>
      <c r="G712" s="4">
        <v>17</v>
      </c>
      <c r="H712" s="8">
        <v>0.85</v>
      </c>
      <c r="I712" s="4">
        <v>0</v>
      </c>
    </row>
    <row r="713" spans="1:9" x14ac:dyDescent="0.2">
      <c r="A713" s="2">
        <v>17</v>
      </c>
      <c r="B713" s="1" t="s">
        <v>110</v>
      </c>
      <c r="C713" s="4">
        <v>50</v>
      </c>
      <c r="D713" s="8">
        <v>1.71</v>
      </c>
      <c r="E713" s="4">
        <v>18</v>
      </c>
      <c r="F713" s="8">
        <v>1.97</v>
      </c>
      <c r="G713" s="4">
        <v>31</v>
      </c>
      <c r="H713" s="8">
        <v>1.55</v>
      </c>
      <c r="I713" s="4">
        <v>0</v>
      </c>
    </row>
    <row r="714" spans="1:9" x14ac:dyDescent="0.2">
      <c r="A714" s="2">
        <v>18</v>
      </c>
      <c r="B714" s="1" t="s">
        <v>119</v>
      </c>
      <c r="C714" s="4">
        <v>47</v>
      </c>
      <c r="D714" s="8">
        <v>1.61</v>
      </c>
      <c r="E714" s="4">
        <v>3</v>
      </c>
      <c r="F714" s="8">
        <v>0.33</v>
      </c>
      <c r="G714" s="4">
        <v>42</v>
      </c>
      <c r="H714" s="8">
        <v>2.1</v>
      </c>
      <c r="I714" s="4">
        <v>2</v>
      </c>
    </row>
    <row r="715" spans="1:9" x14ac:dyDescent="0.2">
      <c r="A715" s="2">
        <v>19</v>
      </c>
      <c r="B715" s="1" t="s">
        <v>102</v>
      </c>
      <c r="C715" s="4">
        <v>45</v>
      </c>
      <c r="D715" s="8">
        <v>1.54</v>
      </c>
      <c r="E715" s="4">
        <v>2</v>
      </c>
      <c r="F715" s="8">
        <v>0.22</v>
      </c>
      <c r="G715" s="4">
        <v>43</v>
      </c>
      <c r="H715" s="8">
        <v>2.15</v>
      </c>
      <c r="I715" s="4">
        <v>0</v>
      </c>
    </row>
    <row r="716" spans="1:9" x14ac:dyDescent="0.2">
      <c r="A716" s="2">
        <v>19</v>
      </c>
      <c r="B716" s="1" t="s">
        <v>107</v>
      </c>
      <c r="C716" s="4">
        <v>45</v>
      </c>
      <c r="D716" s="8">
        <v>1.54</v>
      </c>
      <c r="E716" s="4">
        <v>3</v>
      </c>
      <c r="F716" s="8">
        <v>0.33</v>
      </c>
      <c r="G716" s="4">
        <v>42</v>
      </c>
      <c r="H716" s="8">
        <v>2.1</v>
      </c>
      <c r="I716" s="4">
        <v>0</v>
      </c>
    </row>
    <row r="717" spans="1:9" x14ac:dyDescent="0.2">
      <c r="A717" s="1"/>
      <c r="C717" s="4"/>
      <c r="D717" s="8"/>
      <c r="E717" s="4"/>
      <c r="F717" s="8"/>
      <c r="G717" s="4"/>
      <c r="H717" s="8"/>
      <c r="I717" s="4"/>
    </row>
    <row r="718" spans="1:9" x14ac:dyDescent="0.2">
      <c r="A718" s="1" t="s">
        <v>32</v>
      </c>
      <c r="C718" s="4"/>
      <c r="D718" s="8"/>
      <c r="E718" s="4"/>
      <c r="F718" s="8"/>
      <c r="G718" s="4"/>
      <c r="H718" s="8"/>
      <c r="I718" s="4"/>
    </row>
    <row r="719" spans="1:9" x14ac:dyDescent="0.2">
      <c r="A719" s="2">
        <v>1</v>
      </c>
      <c r="B719" s="1" t="s">
        <v>112</v>
      </c>
      <c r="C719" s="4">
        <v>270</v>
      </c>
      <c r="D719" s="8">
        <v>9.69</v>
      </c>
      <c r="E719" s="4">
        <v>225</v>
      </c>
      <c r="F719" s="8">
        <v>18.5</v>
      </c>
      <c r="G719" s="4">
        <v>45</v>
      </c>
      <c r="H719" s="8">
        <v>2.9</v>
      </c>
      <c r="I719" s="4">
        <v>0</v>
      </c>
    </row>
    <row r="720" spans="1:9" x14ac:dyDescent="0.2">
      <c r="A720" s="2">
        <v>2</v>
      </c>
      <c r="B720" s="1" t="s">
        <v>111</v>
      </c>
      <c r="C720" s="4">
        <v>230</v>
      </c>
      <c r="D720" s="8">
        <v>8.25</v>
      </c>
      <c r="E720" s="4">
        <v>199</v>
      </c>
      <c r="F720" s="8">
        <v>16.37</v>
      </c>
      <c r="G720" s="4">
        <v>31</v>
      </c>
      <c r="H720" s="8">
        <v>1.99</v>
      </c>
      <c r="I720" s="4">
        <v>0</v>
      </c>
    </row>
    <row r="721" spans="1:9" x14ac:dyDescent="0.2">
      <c r="A721" s="2">
        <v>3</v>
      </c>
      <c r="B721" s="1" t="s">
        <v>97</v>
      </c>
      <c r="C721" s="4">
        <v>193</v>
      </c>
      <c r="D721" s="8">
        <v>6.93</v>
      </c>
      <c r="E721" s="4">
        <v>46</v>
      </c>
      <c r="F721" s="8">
        <v>3.78</v>
      </c>
      <c r="G721" s="4">
        <v>147</v>
      </c>
      <c r="H721" s="8">
        <v>9.4600000000000009</v>
      </c>
      <c r="I721" s="4">
        <v>0</v>
      </c>
    </row>
    <row r="722" spans="1:9" x14ac:dyDescent="0.2">
      <c r="A722" s="2">
        <v>4</v>
      </c>
      <c r="B722" s="1" t="s">
        <v>98</v>
      </c>
      <c r="C722" s="4">
        <v>174</v>
      </c>
      <c r="D722" s="8">
        <v>6.24</v>
      </c>
      <c r="E722" s="4">
        <v>38</v>
      </c>
      <c r="F722" s="8">
        <v>3.13</v>
      </c>
      <c r="G722" s="4">
        <v>136</v>
      </c>
      <c r="H722" s="8">
        <v>8.75</v>
      </c>
      <c r="I722" s="4">
        <v>0</v>
      </c>
    </row>
    <row r="723" spans="1:9" x14ac:dyDescent="0.2">
      <c r="A723" s="2">
        <v>5</v>
      </c>
      <c r="B723" s="1" t="s">
        <v>108</v>
      </c>
      <c r="C723" s="4">
        <v>164</v>
      </c>
      <c r="D723" s="8">
        <v>5.88</v>
      </c>
      <c r="E723" s="4">
        <v>41</v>
      </c>
      <c r="F723" s="8">
        <v>3.37</v>
      </c>
      <c r="G723" s="4">
        <v>122</v>
      </c>
      <c r="H723" s="8">
        <v>7.85</v>
      </c>
      <c r="I723" s="4">
        <v>1</v>
      </c>
    </row>
    <row r="724" spans="1:9" x14ac:dyDescent="0.2">
      <c r="A724" s="2">
        <v>6</v>
      </c>
      <c r="B724" s="1" t="s">
        <v>104</v>
      </c>
      <c r="C724" s="4">
        <v>145</v>
      </c>
      <c r="D724" s="8">
        <v>5.2</v>
      </c>
      <c r="E724" s="4">
        <v>103</v>
      </c>
      <c r="F724" s="8">
        <v>8.4700000000000006</v>
      </c>
      <c r="G724" s="4">
        <v>42</v>
      </c>
      <c r="H724" s="8">
        <v>2.7</v>
      </c>
      <c r="I724" s="4">
        <v>0</v>
      </c>
    </row>
    <row r="725" spans="1:9" x14ac:dyDescent="0.2">
      <c r="A725" s="2">
        <v>7</v>
      </c>
      <c r="B725" s="1" t="s">
        <v>114</v>
      </c>
      <c r="C725" s="4">
        <v>132</v>
      </c>
      <c r="D725" s="8">
        <v>4.74</v>
      </c>
      <c r="E725" s="4">
        <v>87</v>
      </c>
      <c r="F725" s="8">
        <v>7.15</v>
      </c>
      <c r="G725" s="4">
        <v>32</v>
      </c>
      <c r="H725" s="8">
        <v>2.06</v>
      </c>
      <c r="I725" s="4">
        <v>0</v>
      </c>
    </row>
    <row r="726" spans="1:9" x14ac:dyDescent="0.2">
      <c r="A726" s="2">
        <v>8</v>
      </c>
      <c r="B726" s="1" t="s">
        <v>106</v>
      </c>
      <c r="C726" s="4">
        <v>129</v>
      </c>
      <c r="D726" s="8">
        <v>4.63</v>
      </c>
      <c r="E726" s="4">
        <v>59</v>
      </c>
      <c r="F726" s="8">
        <v>4.8499999999999996</v>
      </c>
      <c r="G726" s="4">
        <v>69</v>
      </c>
      <c r="H726" s="8">
        <v>4.4400000000000004</v>
      </c>
      <c r="I726" s="4">
        <v>1</v>
      </c>
    </row>
    <row r="727" spans="1:9" x14ac:dyDescent="0.2">
      <c r="A727" s="2">
        <v>9</v>
      </c>
      <c r="B727" s="1" t="s">
        <v>99</v>
      </c>
      <c r="C727" s="4">
        <v>109</v>
      </c>
      <c r="D727" s="8">
        <v>3.91</v>
      </c>
      <c r="E727" s="4">
        <v>20</v>
      </c>
      <c r="F727" s="8">
        <v>1.64</v>
      </c>
      <c r="G727" s="4">
        <v>89</v>
      </c>
      <c r="H727" s="8">
        <v>5.73</v>
      </c>
      <c r="I727" s="4">
        <v>0</v>
      </c>
    </row>
    <row r="728" spans="1:9" x14ac:dyDescent="0.2">
      <c r="A728" s="2">
        <v>10</v>
      </c>
      <c r="B728" s="1" t="s">
        <v>115</v>
      </c>
      <c r="C728" s="4">
        <v>107</v>
      </c>
      <c r="D728" s="8">
        <v>3.84</v>
      </c>
      <c r="E728" s="4">
        <v>88</v>
      </c>
      <c r="F728" s="8">
        <v>7.24</v>
      </c>
      <c r="G728" s="4">
        <v>19</v>
      </c>
      <c r="H728" s="8">
        <v>1.22</v>
      </c>
      <c r="I728" s="4">
        <v>0</v>
      </c>
    </row>
    <row r="729" spans="1:9" x14ac:dyDescent="0.2">
      <c r="A729" s="2">
        <v>11</v>
      </c>
      <c r="B729" s="1" t="s">
        <v>103</v>
      </c>
      <c r="C729" s="4">
        <v>81</v>
      </c>
      <c r="D729" s="8">
        <v>2.91</v>
      </c>
      <c r="E729" s="4">
        <v>29</v>
      </c>
      <c r="F729" s="8">
        <v>2.38</v>
      </c>
      <c r="G729" s="4">
        <v>52</v>
      </c>
      <c r="H729" s="8">
        <v>3.35</v>
      </c>
      <c r="I729" s="4">
        <v>0</v>
      </c>
    </row>
    <row r="730" spans="1:9" x14ac:dyDescent="0.2">
      <c r="A730" s="2">
        <v>11</v>
      </c>
      <c r="B730" s="1" t="s">
        <v>105</v>
      </c>
      <c r="C730" s="4">
        <v>81</v>
      </c>
      <c r="D730" s="8">
        <v>2.91</v>
      </c>
      <c r="E730" s="4">
        <v>32</v>
      </c>
      <c r="F730" s="8">
        <v>2.63</v>
      </c>
      <c r="G730" s="4">
        <v>49</v>
      </c>
      <c r="H730" s="8">
        <v>3.15</v>
      </c>
      <c r="I730" s="4">
        <v>0</v>
      </c>
    </row>
    <row r="731" spans="1:9" x14ac:dyDescent="0.2">
      <c r="A731" s="2">
        <v>13</v>
      </c>
      <c r="B731" s="1" t="s">
        <v>120</v>
      </c>
      <c r="C731" s="4">
        <v>64</v>
      </c>
      <c r="D731" s="8">
        <v>2.2999999999999998</v>
      </c>
      <c r="E731" s="4">
        <v>6</v>
      </c>
      <c r="F731" s="8">
        <v>0.49</v>
      </c>
      <c r="G731" s="4">
        <v>58</v>
      </c>
      <c r="H731" s="8">
        <v>3.73</v>
      </c>
      <c r="I731" s="4">
        <v>0</v>
      </c>
    </row>
    <row r="732" spans="1:9" x14ac:dyDescent="0.2">
      <c r="A732" s="2">
        <v>13</v>
      </c>
      <c r="B732" s="1" t="s">
        <v>110</v>
      </c>
      <c r="C732" s="4">
        <v>64</v>
      </c>
      <c r="D732" s="8">
        <v>2.2999999999999998</v>
      </c>
      <c r="E732" s="4">
        <v>22</v>
      </c>
      <c r="F732" s="8">
        <v>1.81</v>
      </c>
      <c r="G732" s="4">
        <v>42</v>
      </c>
      <c r="H732" s="8">
        <v>2.7</v>
      </c>
      <c r="I732" s="4">
        <v>0</v>
      </c>
    </row>
    <row r="733" spans="1:9" x14ac:dyDescent="0.2">
      <c r="A733" s="2">
        <v>15</v>
      </c>
      <c r="B733" s="1" t="s">
        <v>109</v>
      </c>
      <c r="C733" s="4">
        <v>62</v>
      </c>
      <c r="D733" s="8">
        <v>2.2200000000000002</v>
      </c>
      <c r="E733" s="4">
        <v>33</v>
      </c>
      <c r="F733" s="8">
        <v>2.71</v>
      </c>
      <c r="G733" s="4">
        <v>29</v>
      </c>
      <c r="H733" s="8">
        <v>1.87</v>
      </c>
      <c r="I733" s="4">
        <v>0</v>
      </c>
    </row>
    <row r="734" spans="1:9" x14ac:dyDescent="0.2">
      <c r="A734" s="2">
        <v>16</v>
      </c>
      <c r="B734" s="1" t="s">
        <v>100</v>
      </c>
      <c r="C734" s="4">
        <v>46</v>
      </c>
      <c r="D734" s="8">
        <v>1.65</v>
      </c>
      <c r="E734" s="4">
        <v>7</v>
      </c>
      <c r="F734" s="8">
        <v>0.57999999999999996</v>
      </c>
      <c r="G734" s="4">
        <v>39</v>
      </c>
      <c r="H734" s="8">
        <v>2.5099999999999998</v>
      </c>
      <c r="I734" s="4">
        <v>0</v>
      </c>
    </row>
    <row r="735" spans="1:9" x14ac:dyDescent="0.2">
      <c r="A735" s="2">
        <v>17</v>
      </c>
      <c r="B735" s="1" t="s">
        <v>118</v>
      </c>
      <c r="C735" s="4">
        <v>44</v>
      </c>
      <c r="D735" s="8">
        <v>1.58</v>
      </c>
      <c r="E735" s="4">
        <v>0</v>
      </c>
      <c r="F735" s="8">
        <v>0</v>
      </c>
      <c r="G735" s="4">
        <v>44</v>
      </c>
      <c r="H735" s="8">
        <v>2.83</v>
      </c>
      <c r="I735" s="4">
        <v>0</v>
      </c>
    </row>
    <row r="736" spans="1:9" x14ac:dyDescent="0.2">
      <c r="A736" s="2">
        <v>18</v>
      </c>
      <c r="B736" s="1" t="s">
        <v>101</v>
      </c>
      <c r="C736" s="4">
        <v>42</v>
      </c>
      <c r="D736" s="8">
        <v>1.51</v>
      </c>
      <c r="E736" s="4">
        <v>5</v>
      </c>
      <c r="F736" s="8">
        <v>0.41</v>
      </c>
      <c r="G736" s="4">
        <v>37</v>
      </c>
      <c r="H736" s="8">
        <v>2.38</v>
      </c>
      <c r="I736" s="4">
        <v>0</v>
      </c>
    </row>
    <row r="737" spans="1:9" x14ac:dyDescent="0.2">
      <c r="A737" s="2">
        <v>19</v>
      </c>
      <c r="B737" s="1" t="s">
        <v>113</v>
      </c>
      <c r="C737" s="4">
        <v>40</v>
      </c>
      <c r="D737" s="8">
        <v>1.44</v>
      </c>
      <c r="E737" s="4">
        <v>14</v>
      </c>
      <c r="F737" s="8">
        <v>1.1499999999999999</v>
      </c>
      <c r="G737" s="4">
        <v>26</v>
      </c>
      <c r="H737" s="8">
        <v>1.67</v>
      </c>
      <c r="I737" s="4">
        <v>0</v>
      </c>
    </row>
    <row r="738" spans="1:9" x14ac:dyDescent="0.2">
      <c r="A738" s="2">
        <v>20</v>
      </c>
      <c r="B738" s="1" t="s">
        <v>102</v>
      </c>
      <c r="C738" s="4">
        <v>38</v>
      </c>
      <c r="D738" s="8">
        <v>1.36</v>
      </c>
      <c r="E738" s="4">
        <v>6</v>
      </c>
      <c r="F738" s="8">
        <v>0.49</v>
      </c>
      <c r="G738" s="4">
        <v>32</v>
      </c>
      <c r="H738" s="8">
        <v>2.06</v>
      </c>
      <c r="I738" s="4">
        <v>0</v>
      </c>
    </row>
    <row r="739" spans="1:9" x14ac:dyDescent="0.2">
      <c r="A739" s="1"/>
      <c r="C739" s="4"/>
      <c r="D739" s="8"/>
      <c r="E739" s="4"/>
      <c r="F739" s="8"/>
      <c r="G739" s="4"/>
      <c r="H739" s="8"/>
      <c r="I739" s="4"/>
    </row>
    <row r="740" spans="1:9" x14ac:dyDescent="0.2">
      <c r="A740" s="1" t="s">
        <v>33</v>
      </c>
      <c r="C740" s="4"/>
      <c r="D740" s="8"/>
      <c r="E740" s="4"/>
      <c r="F740" s="8"/>
      <c r="G740" s="4"/>
      <c r="H740" s="8"/>
      <c r="I740" s="4"/>
    </row>
    <row r="741" spans="1:9" x14ac:dyDescent="0.2">
      <c r="A741" s="2">
        <v>1</v>
      </c>
      <c r="B741" s="1" t="s">
        <v>108</v>
      </c>
      <c r="C741" s="4">
        <v>211</v>
      </c>
      <c r="D741" s="8">
        <v>10.42</v>
      </c>
      <c r="E741" s="4">
        <v>5</v>
      </c>
      <c r="F741" s="8">
        <v>0.76</v>
      </c>
      <c r="G741" s="4">
        <v>205</v>
      </c>
      <c r="H741" s="8">
        <v>15.02</v>
      </c>
      <c r="I741" s="4">
        <v>0</v>
      </c>
    </row>
    <row r="742" spans="1:9" x14ac:dyDescent="0.2">
      <c r="A742" s="2">
        <v>2</v>
      </c>
      <c r="B742" s="1" t="s">
        <v>111</v>
      </c>
      <c r="C742" s="4">
        <v>180</v>
      </c>
      <c r="D742" s="8">
        <v>8.89</v>
      </c>
      <c r="E742" s="4">
        <v>141</v>
      </c>
      <c r="F742" s="8">
        <v>21.46</v>
      </c>
      <c r="G742" s="4">
        <v>39</v>
      </c>
      <c r="H742" s="8">
        <v>2.86</v>
      </c>
      <c r="I742" s="4">
        <v>0</v>
      </c>
    </row>
    <row r="743" spans="1:9" x14ac:dyDescent="0.2">
      <c r="A743" s="2">
        <v>3</v>
      </c>
      <c r="B743" s="1" t="s">
        <v>98</v>
      </c>
      <c r="C743" s="4">
        <v>170</v>
      </c>
      <c r="D743" s="8">
        <v>8.4</v>
      </c>
      <c r="E743" s="4">
        <v>25</v>
      </c>
      <c r="F743" s="8">
        <v>3.81</v>
      </c>
      <c r="G743" s="4">
        <v>145</v>
      </c>
      <c r="H743" s="8">
        <v>10.62</v>
      </c>
      <c r="I743" s="4">
        <v>0</v>
      </c>
    </row>
    <row r="744" spans="1:9" x14ac:dyDescent="0.2">
      <c r="A744" s="2">
        <v>4</v>
      </c>
      <c r="B744" s="1" t="s">
        <v>112</v>
      </c>
      <c r="C744" s="4">
        <v>163</v>
      </c>
      <c r="D744" s="8">
        <v>8.0500000000000007</v>
      </c>
      <c r="E744" s="4">
        <v>131</v>
      </c>
      <c r="F744" s="8">
        <v>19.940000000000001</v>
      </c>
      <c r="G744" s="4">
        <v>32</v>
      </c>
      <c r="H744" s="8">
        <v>2.34</v>
      </c>
      <c r="I744" s="4">
        <v>0</v>
      </c>
    </row>
    <row r="745" spans="1:9" x14ac:dyDescent="0.2">
      <c r="A745" s="2">
        <v>5</v>
      </c>
      <c r="B745" s="1" t="s">
        <v>97</v>
      </c>
      <c r="C745" s="4">
        <v>137</v>
      </c>
      <c r="D745" s="8">
        <v>6.77</v>
      </c>
      <c r="E745" s="4">
        <v>10</v>
      </c>
      <c r="F745" s="8">
        <v>1.52</v>
      </c>
      <c r="G745" s="4">
        <v>127</v>
      </c>
      <c r="H745" s="8">
        <v>9.3000000000000007</v>
      </c>
      <c r="I745" s="4">
        <v>0</v>
      </c>
    </row>
    <row r="746" spans="1:9" x14ac:dyDescent="0.2">
      <c r="A746" s="2">
        <v>6</v>
      </c>
      <c r="B746" s="1" t="s">
        <v>99</v>
      </c>
      <c r="C746" s="4">
        <v>106</v>
      </c>
      <c r="D746" s="8">
        <v>5.23</v>
      </c>
      <c r="E746" s="4">
        <v>9</v>
      </c>
      <c r="F746" s="8">
        <v>1.37</v>
      </c>
      <c r="G746" s="4">
        <v>97</v>
      </c>
      <c r="H746" s="8">
        <v>7.11</v>
      </c>
      <c r="I746" s="4">
        <v>0</v>
      </c>
    </row>
    <row r="747" spans="1:9" x14ac:dyDescent="0.2">
      <c r="A747" s="2">
        <v>7</v>
      </c>
      <c r="B747" s="1" t="s">
        <v>114</v>
      </c>
      <c r="C747" s="4">
        <v>83</v>
      </c>
      <c r="D747" s="8">
        <v>4.0999999999999996</v>
      </c>
      <c r="E747" s="4">
        <v>58</v>
      </c>
      <c r="F747" s="8">
        <v>8.83</v>
      </c>
      <c r="G747" s="4">
        <v>25</v>
      </c>
      <c r="H747" s="8">
        <v>1.83</v>
      </c>
      <c r="I747" s="4">
        <v>0</v>
      </c>
    </row>
    <row r="748" spans="1:9" x14ac:dyDescent="0.2">
      <c r="A748" s="2">
        <v>8</v>
      </c>
      <c r="B748" s="1" t="s">
        <v>115</v>
      </c>
      <c r="C748" s="4">
        <v>78</v>
      </c>
      <c r="D748" s="8">
        <v>3.85</v>
      </c>
      <c r="E748" s="4">
        <v>64</v>
      </c>
      <c r="F748" s="8">
        <v>9.74</v>
      </c>
      <c r="G748" s="4">
        <v>14</v>
      </c>
      <c r="H748" s="8">
        <v>1.03</v>
      </c>
      <c r="I748" s="4">
        <v>0</v>
      </c>
    </row>
    <row r="749" spans="1:9" x14ac:dyDescent="0.2">
      <c r="A749" s="2">
        <v>9</v>
      </c>
      <c r="B749" s="1" t="s">
        <v>106</v>
      </c>
      <c r="C749" s="4">
        <v>72</v>
      </c>
      <c r="D749" s="8">
        <v>3.56</v>
      </c>
      <c r="E749" s="4">
        <v>28</v>
      </c>
      <c r="F749" s="8">
        <v>4.26</v>
      </c>
      <c r="G749" s="4">
        <v>44</v>
      </c>
      <c r="H749" s="8">
        <v>3.22</v>
      </c>
      <c r="I749" s="4">
        <v>0</v>
      </c>
    </row>
    <row r="750" spans="1:9" x14ac:dyDescent="0.2">
      <c r="A750" s="2">
        <v>10</v>
      </c>
      <c r="B750" s="1" t="s">
        <v>104</v>
      </c>
      <c r="C750" s="4">
        <v>69</v>
      </c>
      <c r="D750" s="8">
        <v>3.41</v>
      </c>
      <c r="E750" s="4">
        <v>44</v>
      </c>
      <c r="F750" s="8">
        <v>6.7</v>
      </c>
      <c r="G750" s="4">
        <v>25</v>
      </c>
      <c r="H750" s="8">
        <v>1.83</v>
      </c>
      <c r="I750" s="4">
        <v>0</v>
      </c>
    </row>
    <row r="751" spans="1:9" x14ac:dyDescent="0.2">
      <c r="A751" s="2">
        <v>11</v>
      </c>
      <c r="B751" s="1" t="s">
        <v>109</v>
      </c>
      <c r="C751" s="4">
        <v>52</v>
      </c>
      <c r="D751" s="8">
        <v>2.57</v>
      </c>
      <c r="E751" s="4">
        <v>25</v>
      </c>
      <c r="F751" s="8">
        <v>3.81</v>
      </c>
      <c r="G751" s="4">
        <v>27</v>
      </c>
      <c r="H751" s="8">
        <v>1.98</v>
      </c>
      <c r="I751" s="4">
        <v>0</v>
      </c>
    </row>
    <row r="752" spans="1:9" x14ac:dyDescent="0.2">
      <c r="A752" s="2">
        <v>12</v>
      </c>
      <c r="B752" s="1" t="s">
        <v>100</v>
      </c>
      <c r="C752" s="4">
        <v>47</v>
      </c>
      <c r="D752" s="8">
        <v>2.3199999999999998</v>
      </c>
      <c r="E752" s="4">
        <v>12</v>
      </c>
      <c r="F752" s="8">
        <v>1.83</v>
      </c>
      <c r="G752" s="4">
        <v>35</v>
      </c>
      <c r="H752" s="8">
        <v>2.56</v>
      </c>
      <c r="I752" s="4">
        <v>0</v>
      </c>
    </row>
    <row r="753" spans="1:9" x14ac:dyDescent="0.2">
      <c r="A753" s="2">
        <v>13</v>
      </c>
      <c r="B753" s="1" t="s">
        <v>107</v>
      </c>
      <c r="C753" s="4">
        <v>38</v>
      </c>
      <c r="D753" s="8">
        <v>1.88</v>
      </c>
      <c r="E753" s="4">
        <v>1</v>
      </c>
      <c r="F753" s="8">
        <v>0.15</v>
      </c>
      <c r="G753" s="4">
        <v>37</v>
      </c>
      <c r="H753" s="8">
        <v>2.71</v>
      </c>
      <c r="I753" s="4">
        <v>0</v>
      </c>
    </row>
    <row r="754" spans="1:9" x14ac:dyDescent="0.2">
      <c r="A754" s="2">
        <v>14</v>
      </c>
      <c r="B754" s="1" t="s">
        <v>118</v>
      </c>
      <c r="C754" s="4">
        <v>34</v>
      </c>
      <c r="D754" s="8">
        <v>1.68</v>
      </c>
      <c r="E754" s="4">
        <v>1</v>
      </c>
      <c r="F754" s="8">
        <v>0.15</v>
      </c>
      <c r="G754" s="4">
        <v>32</v>
      </c>
      <c r="H754" s="8">
        <v>2.34</v>
      </c>
      <c r="I754" s="4">
        <v>0</v>
      </c>
    </row>
    <row r="755" spans="1:9" x14ac:dyDescent="0.2">
      <c r="A755" s="2">
        <v>15</v>
      </c>
      <c r="B755" s="1" t="s">
        <v>102</v>
      </c>
      <c r="C755" s="4">
        <v>32</v>
      </c>
      <c r="D755" s="8">
        <v>1.58</v>
      </c>
      <c r="E755" s="4">
        <v>3</v>
      </c>
      <c r="F755" s="8">
        <v>0.46</v>
      </c>
      <c r="G755" s="4">
        <v>29</v>
      </c>
      <c r="H755" s="8">
        <v>2.12</v>
      </c>
      <c r="I755" s="4">
        <v>0</v>
      </c>
    </row>
    <row r="756" spans="1:9" x14ac:dyDescent="0.2">
      <c r="A756" s="2">
        <v>16</v>
      </c>
      <c r="B756" s="1" t="s">
        <v>105</v>
      </c>
      <c r="C756" s="4">
        <v>31</v>
      </c>
      <c r="D756" s="8">
        <v>1.53</v>
      </c>
      <c r="E756" s="4">
        <v>7</v>
      </c>
      <c r="F756" s="8">
        <v>1.07</v>
      </c>
      <c r="G756" s="4">
        <v>24</v>
      </c>
      <c r="H756" s="8">
        <v>1.76</v>
      </c>
      <c r="I756" s="4">
        <v>0</v>
      </c>
    </row>
    <row r="757" spans="1:9" x14ac:dyDescent="0.2">
      <c r="A757" s="2">
        <v>17</v>
      </c>
      <c r="B757" s="1" t="s">
        <v>131</v>
      </c>
      <c r="C757" s="4">
        <v>28</v>
      </c>
      <c r="D757" s="8">
        <v>1.38</v>
      </c>
      <c r="E757" s="4">
        <v>5</v>
      </c>
      <c r="F757" s="8">
        <v>0.76</v>
      </c>
      <c r="G757" s="4">
        <v>23</v>
      </c>
      <c r="H757" s="8">
        <v>1.68</v>
      </c>
      <c r="I757" s="4">
        <v>0</v>
      </c>
    </row>
    <row r="758" spans="1:9" x14ac:dyDescent="0.2">
      <c r="A758" s="2">
        <v>18</v>
      </c>
      <c r="B758" s="1" t="s">
        <v>116</v>
      </c>
      <c r="C758" s="4">
        <v>27</v>
      </c>
      <c r="D758" s="8">
        <v>1.33</v>
      </c>
      <c r="E758" s="4">
        <v>13</v>
      </c>
      <c r="F758" s="8">
        <v>1.98</v>
      </c>
      <c r="G758" s="4">
        <v>14</v>
      </c>
      <c r="H758" s="8">
        <v>1.03</v>
      </c>
      <c r="I758" s="4">
        <v>0</v>
      </c>
    </row>
    <row r="759" spans="1:9" x14ac:dyDescent="0.2">
      <c r="A759" s="2">
        <v>19</v>
      </c>
      <c r="B759" s="1" t="s">
        <v>120</v>
      </c>
      <c r="C759" s="4">
        <v>26</v>
      </c>
      <c r="D759" s="8">
        <v>1.28</v>
      </c>
      <c r="E759" s="4">
        <v>5</v>
      </c>
      <c r="F759" s="8">
        <v>0.76</v>
      </c>
      <c r="G759" s="4">
        <v>21</v>
      </c>
      <c r="H759" s="8">
        <v>1.54</v>
      </c>
      <c r="I759" s="4">
        <v>0</v>
      </c>
    </row>
    <row r="760" spans="1:9" x14ac:dyDescent="0.2">
      <c r="A760" s="2">
        <v>19</v>
      </c>
      <c r="B760" s="1" t="s">
        <v>101</v>
      </c>
      <c r="C760" s="4">
        <v>26</v>
      </c>
      <c r="D760" s="8">
        <v>1.28</v>
      </c>
      <c r="E760" s="4">
        <v>4</v>
      </c>
      <c r="F760" s="8">
        <v>0.61</v>
      </c>
      <c r="G760" s="4">
        <v>22</v>
      </c>
      <c r="H760" s="8">
        <v>1.61</v>
      </c>
      <c r="I760" s="4">
        <v>0</v>
      </c>
    </row>
    <row r="761" spans="1:9" x14ac:dyDescent="0.2">
      <c r="A761" s="2">
        <v>19</v>
      </c>
      <c r="B761" s="1" t="s">
        <v>113</v>
      </c>
      <c r="C761" s="4">
        <v>26</v>
      </c>
      <c r="D761" s="8">
        <v>1.28</v>
      </c>
      <c r="E761" s="4">
        <v>4</v>
      </c>
      <c r="F761" s="8">
        <v>0.61</v>
      </c>
      <c r="G761" s="4">
        <v>22</v>
      </c>
      <c r="H761" s="8">
        <v>1.61</v>
      </c>
      <c r="I761" s="4">
        <v>0</v>
      </c>
    </row>
    <row r="762" spans="1:9" x14ac:dyDescent="0.2">
      <c r="A762" s="2">
        <v>19</v>
      </c>
      <c r="B762" s="1" t="s">
        <v>119</v>
      </c>
      <c r="C762" s="4">
        <v>26</v>
      </c>
      <c r="D762" s="8">
        <v>1.28</v>
      </c>
      <c r="E762" s="4">
        <v>3</v>
      </c>
      <c r="F762" s="8">
        <v>0.46</v>
      </c>
      <c r="G762" s="4">
        <v>22</v>
      </c>
      <c r="H762" s="8">
        <v>1.61</v>
      </c>
      <c r="I762" s="4">
        <v>1</v>
      </c>
    </row>
    <row r="763" spans="1:9" x14ac:dyDescent="0.2">
      <c r="A763" s="1"/>
      <c r="C763" s="4"/>
      <c r="D763" s="8"/>
      <c r="E763" s="4"/>
      <c r="F763" s="8"/>
      <c r="G763" s="4"/>
      <c r="H763" s="8"/>
      <c r="I763" s="4"/>
    </row>
    <row r="764" spans="1:9" x14ac:dyDescent="0.2">
      <c r="A764" s="1" t="s">
        <v>34</v>
      </c>
      <c r="C764" s="4"/>
      <c r="D764" s="8"/>
      <c r="E764" s="4"/>
      <c r="F764" s="8"/>
      <c r="G764" s="4"/>
      <c r="H764" s="8"/>
      <c r="I764" s="4"/>
    </row>
    <row r="765" spans="1:9" x14ac:dyDescent="0.2">
      <c r="A765" s="2">
        <v>1</v>
      </c>
      <c r="B765" s="1" t="s">
        <v>108</v>
      </c>
      <c r="C765" s="4">
        <v>187</v>
      </c>
      <c r="D765" s="8">
        <v>14.64</v>
      </c>
      <c r="E765" s="4">
        <v>70</v>
      </c>
      <c r="F765" s="8">
        <v>15.22</v>
      </c>
      <c r="G765" s="4">
        <v>117</v>
      </c>
      <c r="H765" s="8">
        <v>14.32</v>
      </c>
      <c r="I765" s="4">
        <v>0</v>
      </c>
    </row>
    <row r="766" spans="1:9" x14ac:dyDescent="0.2">
      <c r="A766" s="2">
        <v>2</v>
      </c>
      <c r="B766" s="1" t="s">
        <v>112</v>
      </c>
      <c r="C766" s="4">
        <v>110</v>
      </c>
      <c r="D766" s="8">
        <v>8.61</v>
      </c>
      <c r="E766" s="4">
        <v>89</v>
      </c>
      <c r="F766" s="8">
        <v>19.350000000000001</v>
      </c>
      <c r="G766" s="4">
        <v>21</v>
      </c>
      <c r="H766" s="8">
        <v>2.57</v>
      </c>
      <c r="I766" s="4">
        <v>0</v>
      </c>
    </row>
    <row r="767" spans="1:9" x14ac:dyDescent="0.2">
      <c r="A767" s="2">
        <v>3</v>
      </c>
      <c r="B767" s="1" t="s">
        <v>98</v>
      </c>
      <c r="C767" s="4">
        <v>100</v>
      </c>
      <c r="D767" s="8">
        <v>7.83</v>
      </c>
      <c r="E767" s="4">
        <v>20</v>
      </c>
      <c r="F767" s="8">
        <v>4.3499999999999996</v>
      </c>
      <c r="G767" s="4">
        <v>80</v>
      </c>
      <c r="H767" s="8">
        <v>9.7899999999999991</v>
      </c>
      <c r="I767" s="4">
        <v>0</v>
      </c>
    </row>
    <row r="768" spans="1:9" x14ac:dyDescent="0.2">
      <c r="A768" s="2">
        <v>4</v>
      </c>
      <c r="B768" s="1" t="s">
        <v>111</v>
      </c>
      <c r="C768" s="4">
        <v>77</v>
      </c>
      <c r="D768" s="8">
        <v>6.03</v>
      </c>
      <c r="E768" s="4">
        <v>59</v>
      </c>
      <c r="F768" s="8">
        <v>12.83</v>
      </c>
      <c r="G768" s="4">
        <v>18</v>
      </c>
      <c r="H768" s="8">
        <v>2.2000000000000002</v>
      </c>
      <c r="I768" s="4">
        <v>0</v>
      </c>
    </row>
    <row r="769" spans="1:9" x14ac:dyDescent="0.2">
      <c r="A769" s="2">
        <v>5</v>
      </c>
      <c r="B769" s="1" t="s">
        <v>106</v>
      </c>
      <c r="C769" s="4">
        <v>61</v>
      </c>
      <c r="D769" s="8">
        <v>4.78</v>
      </c>
      <c r="E769" s="4">
        <v>25</v>
      </c>
      <c r="F769" s="8">
        <v>5.43</v>
      </c>
      <c r="G769" s="4">
        <v>36</v>
      </c>
      <c r="H769" s="8">
        <v>4.41</v>
      </c>
      <c r="I769" s="4">
        <v>0</v>
      </c>
    </row>
    <row r="770" spans="1:9" x14ac:dyDescent="0.2">
      <c r="A770" s="2">
        <v>6</v>
      </c>
      <c r="B770" s="1" t="s">
        <v>97</v>
      </c>
      <c r="C770" s="4">
        <v>60</v>
      </c>
      <c r="D770" s="8">
        <v>4.7</v>
      </c>
      <c r="E770" s="4">
        <v>2</v>
      </c>
      <c r="F770" s="8">
        <v>0.43</v>
      </c>
      <c r="G770" s="4">
        <v>58</v>
      </c>
      <c r="H770" s="8">
        <v>7.1</v>
      </c>
      <c r="I770" s="4">
        <v>0</v>
      </c>
    </row>
    <row r="771" spans="1:9" x14ac:dyDescent="0.2">
      <c r="A771" s="2">
        <v>7</v>
      </c>
      <c r="B771" s="1" t="s">
        <v>109</v>
      </c>
      <c r="C771" s="4">
        <v>54</v>
      </c>
      <c r="D771" s="8">
        <v>4.2300000000000004</v>
      </c>
      <c r="E771" s="4">
        <v>26</v>
      </c>
      <c r="F771" s="8">
        <v>5.65</v>
      </c>
      <c r="G771" s="4">
        <v>28</v>
      </c>
      <c r="H771" s="8">
        <v>3.43</v>
      </c>
      <c r="I771" s="4">
        <v>0</v>
      </c>
    </row>
    <row r="772" spans="1:9" x14ac:dyDescent="0.2">
      <c r="A772" s="2">
        <v>8</v>
      </c>
      <c r="B772" s="1" t="s">
        <v>104</v>
      </c>
      <c r="C772" s="4">
        <v>47</v>
      </c>
      <c r="D772" s="8">
        <v>3.68</v>
      </c>
      <c r="E772" s="4">
        <v>21</v>
      </c>
      <c r="F772" s="8">
        <v>4.57</v>
      </c>
      <c r="G772" s="4">
        <v>26</v>
      </c>
      <c r="H772" s="8">
        <v>3.18</v>
      </c>
      <c r="I772" s="4">
        <v>0</v>
      </c>
    </row>
    <row r="773" spans="1:9" x14ac:dyDescent="0.2">
      <c r="A773" s="2">
        <v>9</v>
      </c>
      <c r="B773" s="1" t="s">
        <v>115</v>
      </c>
      <c r="C773" s="4">
        <v>45</v>
      </c>
      <c r="D773" s="8">
        <v>3.52</v>
      </c>
      <c r="E773" s="4">
        <v>39</v>
      </c>
      <c r="F773" s="8">
        <v>8.48</v>
      </c>
      <c r="G773" s="4">
        <v>6</v>
      </c>
      <c r="H773" s="8">
        <v>0.73</v>
      </c>
      <c r="I773" s="4">
        <v>0</v>
      </c>
    </row>
    <row r="774" spans="1:9" x14ac:dyDescent="0.2">
      <c r="A774" s="2">
        <v>10</v>
      </c>
      <c r="B774" s="1" t="s">
        <v>99</v>
      </c>
      <c r="C774" s="4">
        <v>43</v>
      </c>
      <c r="D774" s="8">
        <v>3.37</v>
      </c>
      <c r="E774" s="4">
        <v>2</v>
      </c>
      <c r="F774" s="8">
        <v>0.43</v>
      </c>
      <c r="G774" s="4">
        <v>41</v>
      </c>
      <c r="H774" s="8">
        <v>5.0199999999999996</v>
      </c>
      <c r="I774" s="4">
        <v>0</v>
      </c>
    </row>
    <row r="775" spans="1:9" x14ac:dyDescent="0.2">
      <c r="A775" s="2">
        <v>11</v>
      </c>
      <c r="B775" s="1" t="s">
        <v>114</v>
      </c>
      <c r="C775" s="4">
        <v>41</v>
      </c>
      <c r="D775" s="8">
        <v>3.21</v>
      </c>
      <c r="E775" s="4">
        <v>28</v>
      </c>
      <c r="F775" s="8">
        <v>6.09</v>
      </c>
      <c r="G775" s="4">
        <v>13</v>
      </c>
      <c r="H775" s="8">
        <v>1.59</v>
      </c>
      <c r="I775" s="4">
        <v>0</v>
      </c>
    </row>
    <row r="776" spans="1:9" x14ac:dyDescent="0.2">
      <c r="A776" s="2">
        <v>12</v>
      </c>
      <c r="B776" s="1" t="s">
        <v>103</v>
      </c>
      <c r="C776" s="4">
        <v>29</v>
      </c>
      <c r="D776" s="8">
        <v>2.27</v>
      </c>
      <c r="E776" s="4">
        <v>6</v>
      </c>
      <c r="F776" s="8">
        <v>1.3</v>
      </c>
      <c r="G776" s="4">
        <v>23</v>
      </c>
      <c r="H776" s="8">
        <v>2.82</v>
      </c>
      <c r="I776" s="4">
        <v>0</v>
      </c>
    </row>
    <row r="777" spans="1:9" x14ac:dyDescent="0.2">
      <c r="A777" s="2">
        <v>13</v>
      </c>
      <c r="B777" s="1" t="s">
        <v>105</v>
      </c>
      <c r="C777" s="4">
        <v>26</v>
      </c>
      <c r="D777" s="8">
        <v>2.04</v>
      </c>
      <c r="E777" s="4">
        <v>11</v>
      </c>
      <c r="F777" s="8">
        <v>2.39</v>
      </c>
      <c r="G777" s="4">
        <v>15</v>
      </c>
      <c r="H777" s="8">
        <v>1.84</v>
      </c>
      <c r="I777" s="4">
        <v>0</v>
      </c>
    </row>
    <row r="778" spans="1:9" x14ac:dyDescent="0.2">
      <c r="A778" s="2">
        <v>14</v>
      </c>
      <c r="B778" s="1" t="s">
        <v>107</v>
      </c>
      <c r="C778" s="4">
        <v>23</v>
      </c>
      <c r="D778" s="8">
        <v>1.8</v>
      </c>
      <c r="E778" s="4">
        <v>2</v>
      </c>
      <c r="F778" s="8">
        <v>0.43</v>
      </c>
      <c r="G778" s="4">
        <v>21</v>
      </c>
      <c r="H778" s="8">
        <v>2.57</v>
      </c>
      <c r="I778" s="4">
        <v>0</v>
      </c>
    </row>
    <row r="779" spans="1:9" x14ac:dyDescent="0.2">
      <c r="A779" s="2">
        <v>15</v>
      </c>
      <c r="B779" s="1" t="s">
        <v>131</v>
      </c>
      <c r="C779" s="4">
        <v>20</v>
      </c>
      <c r="D779" s="8">
        <v>1.57</v>
      </c>
      <c r="E779" s="4">
        <v>1</v>
      </c>
      <c r="F779" s="8">
        <v>0.22</v>
      </c>
      <c r="G779" s="4">
        <v>19</v>
      </c>
      <c r="H779" s="8">
        <v>2.33</v>
      </c>
      <c r="I779" s="4">
        <v>0</v>
      </c>
    </row>
    <row r="780" spans="1:9" x14ac:dyDescent="0.2">
      <c r="A780" s="2">
        <v>16</v>
      </c>
      <c r="B780" s="1" t="s">
        <v>110</v>
      </c>
      <c r="C780" s="4">
        <v>19</v>
      </c>
      <c r="D780" s="8">
        <v>1.49</v>
      </c>
      <c r="E780" s="4">
        <v>5</v>
      </c>
      <c r="F780" s="8">
        <v>1.0900000000000001</v>
      </c>
      <c r="G780" s="4">
        <v>14</v>
      </c>
      <c r="H780" s="8">
        <v>1.71</v>
      </c>
      <c r="I780" s="4">
        <v>0</v>
      </c>
    </row>
    <row r="781" spans="1:9" x14ac:dyDescent="0.2">
      <c r="A781" s="2">
        <v>16</v>
      </c>
      <c r="B781" s="1" t="s">
        <v>113</v>
      </c>
      <c r="C781" s="4">
        <v>19</v>
      </c>
      <c r="D781" s="8">
        <v>1.49</v>
      </c>
      <c r="E781" s="4">
        <v>5</v>
      </c>
      <c r="F781" s="8">
        <v>1.0900000000000001</v>
      </c>
      <c r="G781" s="4">
        <v>14</v>
      </c>
      <c r="H781" s="8">
        <v>1.71</v>
      </c>
      <c r="I781" s="4">
        <v>0</v>
      </c>
    </row>
    <row r="782" spans="1:9" x14ac:dyDescent="0.2">
      <c r="A782" s="2">
        <v>18</v>
      </c>
      <c r="B782" s="1" t="s">
        <v>116</v>
      </c>
      <c r="C782" s="4">
        <v>18</v>
      </c>
      <c r="D782" s="8">
        <v>1.41</v>
      </c>
      <c r="E782" s="4">
        <v>8</v>
      </c>
      <c r="F782" s="8">
        <v>1.74</v>
      </c>
      <c r="G782" s="4">
        <v>10</v>
      </c>
      <c r="H782" s="8">
        <v>1.22</v>
      </c>
      <c r="I782" s="4">
        <v>0</v>
      </c>
    </row>
    <row r="783" spans="1:9" x14ac:dyDescent="0.2">
      <c r="A783" s="2">
        <v>19</v>
      </c>
      <c r="B783" s="1" t="s">
        <v>100</v>
      </c>
      <c r="C783" s="4">
        <v>17</v>
      </c>
      <c r="D783" s="8">
        <v>1.33</v>
      </c>
      <c r="E783" s="4">
        <v>4</v>
      </c>
      <c r="F783" s="8">
        <v>0.87</v>
      </c>
      <c r="G783" s="4">
        <v>13</v>
      </c>
      <c r="H783" s="8">
        <v>1.59</v>
      </c>
      <c r="I783" s="4">
        <v>0</v>
      </c>
    </row>
    <row r="784" spans="1:9" x14ac:dyDescent="0.2">
      <c r="A784" s="2">
        <v>19</v>
      </c>
      <c r="B784" s="1" t="s">
        <v>125</v>
      </c>
      <c r="C784" s="4">
        <v>17</v>
      </c>
      <c r="D784" s="8">
        <v>1.33</v>
      </c>
      <c r="E784" s="4">
        <v>1</v>
      </c>
      <c r="F784" s="8">
        <v>0.22</v>
      </c>
      <c r="G784" s="4">
        <v>16</v>
      </c>
      <c r="H784" s="8">
        <v>1.96</v>
      </c>
      <c r="I784" s="4">
        <v>0</v>
      </c>
    </row>
    <row r="785" spans="1:9" x14ac:dyDescent="0.2">
      <c r="A785" s="2">
        <v>19</v>
      </c>
      <c r="B785" s="1" t="s">
        <v>102</v>
      </c>
      <c r="C785" s="4">
        <v>17</v>
      </c>
      <c r="D785" s="8">
        <v>1.33</v>
      </c>
      <c r="E785" s="4">
        <v>0</v>
      </c>
      <c r="F785" s="8">
        <v>0</v>
      </c>
      <c r="G785" s="4">
        <v>17</v>
      </c>
      <c r="H785" s="8">
        <v>2.08</v>
      </c>
      <c r="I785" s="4">
        <v>0</v>
      </c>
    </row>
    <row r="786" spans="1:9" x14ac:dyDescent="0.2">
      <c r="A786" s="2">
        <v>19</v>
      </c>
      <c r="B786" s="1" t="s">
        <v>118</v>
      </c>
      <c r="C786" s="4">
        <v>17</v>
      </c>
      <c r="D786" s="8">
        <v>1.33</v>
      </c>
      <c r="E786" s="4">
        <v>1</v>
      </c>
      <c r="F786" s="8">
        <v>0.22</v>
      </c>
      <c r="G786" s="4">
        <v>16</v>
      </c>
      <c r="H786" s="8">
        <v>1.96</v>
      </c>
      <c r="I786" s="4">
        <v>0</v>
      </c>
    </row>
    <row r="787" spans="1:9" x14ac:dyDescent="0.2">
      <c r="A787" s="1"/>
      <c r="C787" s="4"/>
      <c r="D787" s="8"/>
      <c r="E787" s="4"/>
      <c r="F787" s="8"/>
      <c r="G787" s="4"/>
      <c r="H787" s="8"/>
      <c r="I787" s="4"/>
    </row>
    <row r="788" spans="1:9" x14ac:dyDescent="0.2">
      <c r="A788" s="1" t="s">
        <v>35</v>
      </c>
      <c r="C788" s="4"/>
      <c r="D788" s="8"/>
      <c r="E788" s="4"/>
      <c r="F788" s="8"/>
      <c r="G788" s="4"/>
      <c r="H788" s="8"/>
      <c r="I788" s="4"/>
    </row>
    <row r="789" spans="1:9" x14ac:dyDescent="0.2">
      <c r="A789" s="2">
        <v>1</v>
      </c>
      <c r="B789" s="1" t="s">
        <v>108</v>
      </c>
      <c r="C789" s="4">
        <v>141</v>
      </c>
      <c r="D789" s="8">
        <v>13.33</v>
      </c>
      <c r="E789" s="4">
        <v>5</v>
      </c>
      <c r="F789" s="8">
        <v>1.93</v>
      </c>
      <c r="G789" s="4">
        <v>133</v>
      </c>
      <c r="H789" s="8">
        <v>16.899999999999999</v>
      </c>
      <c r="I789" s="4">
        <v>1</v>
      </c>
    </row>
    <row r="790" spans="1:9" x14ac:dyDescent="0.2">
      <c r="A790" s="2">
        <v>2</v>
      </c>
      <c r="B790" s="1" t="s">
        <v>98</v>
      </c>
      <c r="C790" s="4">
        <v>105</v>
      </c>
      <c r="D790" s="8">
        <v>9.92</v>
      </c>
      <c r="E790" s="4">
        <v>14</v>
      </c>
      <c r="F790" s="8">
        <v>5.41</v>
      </c>
      <c r="G790" s="4">
        <v>91</v>
      </c>
      <c r="H790" s="8">
        <v>11.56</v>
      </c>
      <c r="I790" s="4">
        <v>0</v>
      </c>
    </row>
    <row r="791" spans="1:9" x14ac:dyDescent="0.2">
      <c r="A791" s="2">
        <v>3</v>
      </c>
      <c r="B791" s="1" t="s">
        <v>112</v>
      </c>
      <c r="C791" s="4">
        <v>68</v>
      </c>
      <c r="D791" s="8">
        <v>6.43</v>
      </c>
      <c r="E791" s="4">
        <v>44</v>
      </c>
      <c r="F791" s="8">
        <v>16.989999999999998</v>
      </c>
      <c r="G791" s="4">
        <v>24</v>
      </c>
      <c r="H791" s="8">
        <v>3.05</v>
      </c>
      <c r="I791" s="4">
        <v>0</v>
      </c>
    </row>
    <row r="792" spans="1:9" x14ac:dyDescent="0.2">
      <c r="A792" s="2">
        <v>4</v>
      </c>
      <c r="B792" s="1" t="s">
        <v>99</v>
      </c>
      <c r="C792" s="4">
        <v>57</v>
      </c>
      <c r="D792" s="8">
        <v>5.39</v>
      </c>
      <c r="E792" s="4">
        <v>6</v>
      </c>
      <c r="F792" s="8">
        <v>2.3199999999999998</v>
      </c>
      <c r="G792" s="4">
        <v>51</v>
      </c>
      <c r="H792" s="8">
        <v>6.48</v>
      </c>
      <c r="I792" s="4">
        <v>0</v>
      </c>
    </row>
    <row r="793" spans="1:9" x14ac:dyDescent="0.2">
      <c r="A793" s="2">
        <v>5</v>
      </c>
      <c r="B793" s="1" t="s">
        <v>111</v>
      </c>
      <c r="C793" s="4">
        <v>56</v>
      </c>
      <c r="D793" s="8">
        <v>5.29</v>
      </c>
      <c r="E793" s="4">
        <v>36</v>
      </c>
      <c r="F793" s="8">
        <v>13.9</v>
      </c>
      <c r="G793" s="4">
        <v>20</v>
      </c>
      <c r="H793" s="8">
        <v>2.54</v>
      </c>
      <c r="I793" s="4">
        <v>0</v>
      </c>
    </row>
    <row r="794" spans="1:9" x14ac:dyDescent="0.2">
      <c r="A794" s="2">
        <v>6</v>
      </c>
      <c r="B794" s="1" t="s">
        <v>97</v>
      </c>
      <c r="C794" s="4">
        <v>55</v>
      </c>
      <c r="D794" s="8">
        <v>5.2</v>
      </c>
      <c r="E794" s="4">
        <v>7</v>
      </c>
      <c r="F794" s="8">
        <v>2.7</v>
      </c>
      <c r="G794" s="4">
        <v>48</v>
      </c>
      <c r="H794" s="8">
        <v>6.1</v>
      </c>
      <c r="I794" s="4">
        <v>0</v>
      </c>
    </row>
    <row r="795" spans="1:9" x14ac:dyDescent="0.2">
      <c r="A795" s="2">
        <v>7</v>
      </c>
      <c r="B795" s="1" t="s">
        <v>109</v>
      </c>
      <c r="C795" s="4">
        <v>47</v>
      </c>
      <c r="D795" s="8">
        <v>4.4400000000000004</v>
      </c>
      <c r="E795" s="4">
        <v>14</v>
      </c>
      <c r="F795" s="8">
        <v>5.41</v>
      </c>
      <c r="G795" s="4">
        <v>32</v>
      </c>
      <c r="H795" s="8">
        <v>4.07</v>
      </c>
      <c r="I795" s="4">
        <v>1</v>
      </c>
    </row>
    <row r="796" spans="1:9" x14ac:dyDescent="0.2">
      <c r="A796" s="2">
        <v>8</v>
      </c>
      <c r="B796" s="1" t="s">
        <v>114</v>
      </c>
      <c r="C796" s="4">
        <v>38</v>
      </c>
      <c r="D796" s="8">
        <v>3.59</v>
      </c>
      <c r="E796" s="4">
        <v>19</v>
      </c>
      <c r="F796" s="8">
        <v>7.34</v>
      </c>
      <c r="G796" s="4">
        <v>18</v>
      </c>
      <c r="H796" s="8">
        <v>2.29</v>
      </c>
      <c r="I796" s="4">
        <v>0</v>
      </c>
    </row>
    <row r="797" spans="1:9" x14ac:dyDescent="0.2">
      <c r="A797" s="2">
        <v>9</v>
      </c>
      <c r="B797" s="1" t="s">
        <v>104</v>
      </c>
      <c r="C797" s="4">
        <v>36</v>
      </c>
      <c r="D797" s="8">
        <v>3.4</v>
      </c>
      <c r="E797" s="4">
        <v>16</v>
      </c>
      <c r="F797" s="8">
        <v>6.18</v>
      </c>
      <c r="G797" s="4">
        <v>20</v>
      </c>
      <c r="H797" s="8">
        <v>2.54</v>
      </c>
      <c r="I797" s="4">
        <v>0</v>
      </c>
    </row>
    <row r="798" spans="1:9" x14ac:dyDescent="0.2">
      <c r="A798" s="2">
        <v>10</v>
      </c>
      <c r="B798" s="1" t="s">
        <v>106</v>
      </c>
      <c r="C798" s="4">
        <v>34</v>
      </c>
      <c r="D798" s="8">
        <v>3.21</v>
      </c>
      <c r="E798" s="4">
        <v>15</v>
      </c>
      <c r="F798" s="8">
        <v>5.79</v>
      </c>
      <c r="G798" s="4">
        <v>19</v>
      </c>
      <c r="H798" s="8">
        <v>2.41</v>
      </c>
      <c r="I798" s="4">
        <v>0</v>
      </c>
    </row>
    <row r="799" spans="1:9" x14ac:dyDescent="0.2">
      <c r="A799" s="2">
        <v>11</v>
      </c>
      <c r="B799" s="1" t="s">
        <v>110</v>
      </c>
      <c r="C799" s="4">
        <v>30</v>
      </c>
      <c r="D799" s="8">
        <v>2.84</v>
      </c>
      <c r="E799" s="4">
        <v>6</v>
      </c>
      <c r="F799" s="8">
        <v>2.3199999999999998</v>
      </c>
      <c r="G799" s="4">
        <v>24</v>
      </c>
      <c r="H799" s="8">
        <v>3.05</v>
      </c>
      <c r="I799" s="4">
        <v>0</v>
      </c>
    </row>
    <row r="800" spans="1:9" x14ac:dyDescent="0.2">
      <c r="A800" s="2">
        <v>12</v>
      </c>
      <c r="B800" s="1" t="s">
        <v>105</v>
      </c>
      <c r="C800" s="4">
        <v>28</v>
      </c>
      <c r="D800" s="8">
        <v>2.65</v>
      </c>
      <c r="E800" s="4">
        <v>6</v>
      </c>
      <c r="F800" s="8">
        <v>2.3199999999999998</v>
      </c>
      <c r="G800" s="4">
        <v>22</v>
      </c>
      <c r="H800" s="8">
        <v>2.8</v>
      </c>
      <c r="I800" s="4">
        <v>0</v>
      </c>
    </row>
    <row r="801" spans="1:9" x14ac:dyDescent="0.2">
      <c r="A801" s="2">
        <v>12</v>
      </c>
      <c r="B801" s="1" t="s">
        <v>115</v>
      </c>
      <c r="C801" s="4">
        <v>28</v>
      </c>
      <c r="D801" s="8">
        <v>2.65</v>
      </c>
      <c r="E801" s="4">
        <v>20</v>
      </c>
      <c r="F801" s="8">
        <v>7.72</v>
      </c>
      <c r="G801" s="4">
        <v>8</v>
      </c>
      <c r="H801" s="8">
        <v>1.02</v>
      </c>
      <c r="I801" s="4">
        <v>0</v>
      </c>
    </row>
    <row r="802" spans="1:9" x14ac:dyDescent="0.2">
      <c r="A802" s="2">
        <v>14</v>
      </c>
      <c r="B802" s="1" t="s">
        <v>123</v>
      </c>
      <c r="C802" s="4">
        <v>25</v>
      </c>
      <c r="D802" s="8">
        <v>2.36</v>
      </c>
      <c r="E802" s="4">
        <v>0</v>
      </c>
      <c r="F802" s="8">
        <v>0</v>
      </c>
      <c r="G802" s="4">
        <v>25</v>
      </c>
      <c r="H802" s="8">
        <v>3.18</v>
      </c>
      <c r="I802" s="4">
        <v>0</v>
      </c>
    </row>
    <row r="803" spans="1:9" x14ac:dyDescent="0.2">
      <c r="A803" s="2">
        <v>15</v>
      </c>
      <c r="B803" s="1" t="s">
        <v>100</v>
      </c>
      <c r="C803" s="4">
        <v>18</v>
      </c>
      <c r="D803" s="8">
        <v>1.7</v>
      </c>
      <c r="E803" s="4">
        <v>8</v>
      </c>
      <c r="F803" s="8">
        <v>3.09</v>
      </c>
      <c r="G803" s="4">
        <v>10</v>
      </c>
      <c r="H803" s="8">
        <v>1.27</v>
      </c>
      <c r="I803" s="4">
        <v>0</v>
      </c>
    </row>
    <row r="804" spans="1:9" x14ac:dyDescent="0.2">
      <c r="A804" s="2">
        <v>16</v>
      </c>
      <c r="B804" s="1" t="s">
        <v>101</v>
      </c>
      <c r="C804" s="4">
        <v>16</v>
      </c>
      <c r="D804" s="8">
        <v>1.51</v>
      </c>
      <c r="E804" s="4">
        <v>2</v>
      </c>
      <c r="F804" s="8">
        <v>0.77</v>
      </c>
      <c r="G804" s="4">
        <v>14</v>
      </c>
      <c r="H804" s="8">
        <v>1.78</v>
      </c>
      <c r="I804" s="4">
        <v>0</v>
      </c>
    </row>
    <row r="805" spans="1:9" x14ac:dyDescent="0.2">
      <c r="A805" s="2">
        <v>17</v>
      </c>
      <c r="B805" s="1" t="s">
        <v>122</v>
      </c>
      <c r="C805" s="4">
        <v>14</v>
      </c>
      <c r="D805" s="8">
        <v>1.32</v>
      </c>
      <c r="E805" s="4">
        <v>0</v>
      </c>
      <c r="F805" s="8">
        <v>0</v>
      </c>
      <c r="G805" s="4">
        <v>14</v>
      </c>
      <c r="H805" s="8">
        <v>1.78</v>
      </c>
      <c r="I805" s="4">
        <v>0</v>
      </c>
    </row>
    <row r="806" spans="1:9" x14ac:dyDescent="0.2">
      <c r="A806" s="2">
        <v>17</v>
      </c>
      <c r="B806" s="1" t="s">
        <v>116</v>
      </c>
      <c r="C806" s="4">
        <v>14</v>
      </c>
      <c r="D806" s="8">
        <v>1.32</v>
      </c>
      <c r="E806" s="4">
        <v>4</v>
      </c>
      <c r="F806" s="8">
        <v>1.54</v>
      </c>
      <c r="G806" s="4">
        <v>10</v>
      </c>
      <c r="H806" s="8">
        <v>1.27</v>
      </c>
      <c r="I806" s="4">
        <v>0</v>
      </c>
    </row>
    <row r="807" spans="1:9" x14ac:dyDescent="0.2">
      <c r="A807" s="2">
        <v>19</v>
      </c>
      <c r="B807" s="1" t="s">
        <v>102</v>
      </c>
      <c r="C807" s="4">
        <v>13</v>
      </c>
      <c r="D807" s="8">
        <v>1.23</v>
      </c>
      <c r="E807" s="4">
        <v>3</v>
      </c>
      <c r="F807" s="8">
        <v>1.1599999999999999</v>
      </c>
      <c r="G807" s="4">
        <v>10</v>
      </c>
      <c r="H807" s="8">
        <v>1.27</v>
      </c>
      <c r="I807" s="4">
        <v>0</v>
      </c>
    </row>
    <row r="808" spans="1:9" x14ac:dyDescent="0.2">
      <c r="A808" s="2">
        <v>19</v>
      </c>
      <c r="B808" s="1" t="s">
        <v>117</v>
      </c>
      <c r="C808" s="4">
        <v>13</v>
      </c>
      <c r="D808" s="8">
        <v>1.23</v>
      </c>
      <c r="E808" s="4">
        <v>1</v>
      </c>
      <c r="F808" s="8">
        <v>0.39</v>
      </c>
      <c r="G808" s="4">
        <v>12</v>
      </c>
      <c r="H808" s="8">
        <v>1.52</v>
      </c>
      <c r="I808" s="4">
        <v>0</v>
      </c>
    </row>
    <row r="809" spans="1:9" x14ac:dyDescent="0.2">
      <c r="A809" s="2">
        <v>19</v>
      </c>
      <c r="B809" s="1" t="s">
        <v>113</v>
      </c>
      <c r="C809" s="4">
        <v>13</v>
      </c>
      <c r="D809" s="8">
        <v>1.23</v>
      </c>
      <c r="E809" s="4">
        <v>5</v>
      </c>
      <c r="F809" s="8">
        <v>1.93</v>
      </c>
      <c r="G809" s="4">
        <v>7</v>
      </c>
      <c r="H809" s="8">
        <v>0.89</v>
      </c>
      <c r="I809" s="4">
        <v>1</v>
      </c>
    </row>
    <row r="810" spans="1:9" x14ac:dyDescent="0.2">
      <c r="A810" s="1"/>
      <c r="C810" s="4"/>
      <c r="D810" s="8"/>
      <c r="E810" s="4"/>
      <c r="F810" s="8"/>
      <c r="G810" s="4"/>
      <c r="H810" s="8"/>
      <c r="I810" s="4"/>
    </row>
    <row r="811" spans="1:9" x14ac:dyDescent="0.2">
      <c r="A811" s="1" t="s">
        <v>36</v>
      </c>
      <c r="C811" s="4"/>
      <c r="D811" s="8"/>
      <c r="E811" s="4"/>
      <c r="F811" s="8"/>
      <c r="G811" s="4"/>
      <c r="H811" s="8"/>
      <c r="I811" s="4"/>
    </row>
    <row r="812" spans="1:9" x14ac:dyDescent="0.2">
      <c r="A812" s="2">
        <v>1</v>
      </c>
      <c r="B812" s="1" t="s">
        <v>98</v>
      </c>
      <c r="C812" s="4">
        <v>246</v>
      </c>
      <c r="D812" s="8">
        <v>9.06</v>
      </c>
      <c r="E812" s="4">
        <v>46</v>
      </c>
      <c r="F812" s="8">
        <v>5.19</v>
      </c>
      <c r="G812" s="4">
        <v>200</v>
      </c>
      <c r="H812" s="8">
        <v>10.99</v>
      </c>
      <c r="I812" s="4">
        <v>0</v>
      </c>
    </row>
    <row r="813" spans="1:9" x14ac:dyDescent="0.2">
      <c r="A813" s="2">
        <v>2</v>
      </c>
      <c r="B813" s="1" t="s">
        <v>108</v>
      </c>
      <c r="C813" s="4">
        <v>228</v>
      </c>
      <c r="D813" s="8">
        <v>8.4</v>
      </c>
      <c r="E813" s="4">
        <v>36</v>
      </c>
      <c r="F813" s="8">
        <v>4.0599999999999996</v>
      </c>
      <c r="G813" s="4">
        <v>192</v>
      </c>
      <c r="H813" s="8">
        <v>10.55</v>
      </c>
      <c r="I813" s="4">
        <v>0</v>
      </c>
    </row>
    <row r="814" spans="1:9" x14ac:dyDescent="0.2">
      <c r="A814" s="2">
        <v>3</v>
      </c>
      <c r="B814" s="1" t="s">
        <v>112</v>
      </c>
      <c r="C814" s="4">
        <v>223</v>
      </c>
      <c r="D814" s="8">
        <v>8.2100000000000009</v>
      </c>
      <c r="E814" s="4">
        <v>176</v>
      </c>
      <c r="F814" s="8">
        <v>19.86</v>
      </c>
      <c r="G814" s="4">
        <v>47</v>
      </c>
      <c r="H814" s="8">
        <v>2.58</v>
      </c>
      <c r="I814" s="4">
        <v>0</v>
      </c>
    </row>
    <row r="815" spans="1:9" x14ac:dyDescent="0.2">
      <c r="A815" s="2">
        <v>4</v>
      </c>
      <c r="B815" s="1" t="s">
        <v>97</v>
      </c>
      <c r="C815" s="4">
        <v>215</v>
      </c>
      <c r="D815" s="8">
        <v>7.92</v>
      </c>
      <c r="E815" s="4">
        <v>23</v>
      </c>
      <c r="F815" s="8">
        <v>2.6</v>
      </c>
      <c r="G815" s="4">
        <v>192</v>
      </c>
      <c r="H815" s="8">
        <v>10.55</v>
      </c>
      <c r="I815" s="4">
        <v>0</v>
      </c>
    </row>
    <row r="816" spans="1:9" x14ac:dyDescent="0.2">
      <c r="A816" s="2">
        <v>5</v>
      </c>
      <c r="B816" s="1" t="s">
        <v>99</v>
      </c>
      <c r="C816" s="4">
        <v>210</v>
      </c>
      <c r="D816" s="8">
        <v>7.73</v>
      </c>
      <c r="E816" s="4">
        <v>19</v>
      </c>
      <c r="F816" s="8">
        <v>2.14</v>
      </c>
      <c r="G816" s="4">
        <v>191</v>
      </c>
      <c r="H816" s="8">
        <v>10.49</v>
      </c>
      <c r="I816" s="4">
        <v>0</v>
      </c>
    </row>
    <row r="817" spans="1:9" x14ac:dyDescent="0.2">
      <c r="A817" s="2">
        <v>6</v>
      </c>
      <c r="B817" s="1" t="s">
        <v>111</v>
      </c>
      <c r="C817" s="4">
        <v>164</v>
      </c>
      <c r="D817" s="8">
        <v>6.04</v>
      </c>
      <c r="E817" s="4">
        <v>125</v>
      </c>
      <c r="F817" s="8">
        <v>14.11</v>
      </c>
      <c r="G817" s="4">
        <v>39</v>
      </c>
      <c r="H817" s="8">
        <v>2.14</v>
      </c>
      <c r="I817" s="4">
        <v>0</v>
      </c>
    </row>
    <row r="818" spans="1:9" x14ac:dyDescent="0.2">
      <c r="A818" s="2">
        <v>7</v>
      </c>
      <c r="B818" s="1" t="s">
        <v>106</v>
      </c>
      <c r="C818" s="4">
        <v>122</v>
      </c>
      <c r="D818" s="8">
        <v>4.49</v>
      </c>
      <c r="E818" s="4">
        <v>57</v>
      </c>
      <c r="F818" s="8">
        <v>6.43</v>
      </c>
      <c r="G818" s="4">
        <v>65</v>
      </c>
      <c r="H818" s="8">
        <v>3.57</v>
      </c>
      <c r="I818" s="4">
        <v>0</v>
      </c>
    </row>
    <row r="819" spans="1:9" x14ac:dyDescent="0.2">
      <c r="A819" s="2">
        <v>8</v>
      </c>
      <c r="B819" s="1" t="s">
        <v>114</v>
      </c>
      <c r="C819" s="4">
        <v>94</v>
      </c>
      <c r="D819" s="8">
        <v>3.46</v>
      </c>
      <c r="E819" s="4">
        <v>53</v>
      </c>
      <c r="F819" s="8">
        <v>5.98</v>
      </c>
      <c r="G819" s="4">
        <v>37</v>
      </c>
      <c r="H819" s="8">
        <v>2.0299999999999998</v>
      </c>
      <c r="I819" s="4">
        <v>0</v>
      </c>
    </row>
    <row r="820" spans="1:9" x14ac:dyDescent="0.2">
      <c r="A820" s="2">
        <v>9</v>
      </c>
      <c r="B820" s="1" t="s">
        <v>115</v>
      </c>
      <c r="C820" s="4">
        <v>93</v>
      </c>
      <c r="D820" s="8">
        <v>3.43</v>
      </c>
      <c r="E820" s="4">
        <v>77</v>
      </c>
      <c r="F820" s="8">
        <v>8.69</v>
      </c>
      <c r="G820" s="4">
        <v>16</v>
      </c>
      <c r="H820" s="8">
        <v>0.88</v>
      </c>
      <c r="I820" s="4">
        <v>0</v>
      </c>
    </row>
    <row r="821" spans="1:9" x14ac:dyDescent="0.2">
      <c r="A821" s="2">
        <v>10</v>
      </c>
      <c r="B821" s="1" t="s">
        <v>104</v>
      </c>
      <c r="C821" s="4">
        <v>83</v>
      </c>
      <c r="D821" s="8">
        <v>3.06</v>
      </c>
      <c r="E821" s="4">
        <v>57</v>
      </c>
      <c r="F821" s="8">
        <v>6.43</v>
      </c>
      <c r="G821" s="4">
        <v>26</v>
      </c>
      <c r="H821" s="8">
        <v>1.43</v>
      </c>
      <c r="I821" s="4">
        <v>0</v>
      </c>
    </row>
    <row r="822" spans="1:9" x14ac:dyDescent="0.2">
      <c r="A822" s="2">
        <v>11</v>
      </c>
      <c r="B822" s="1" t="s">
        <v>105</v>
      </c>
      <c r="C822" s="4">
        <v>74</v>
      </c>
      <c r="D822" s="8">
        <v>2.73</v>
      </c>
      <c r="E822" s="4">
        <v>31</v>
      </c>
      <c r="F822" s="8">
        <v>3.5</v>
      </c>
      <c r="G822" s="4">
        <v>43</v>
      </c>
      <c r="H822" s="8">
        <v>2.36</v>
      </c>
      <c r="I822" s="4">
        <v>0</v>
      </c>
    </row>
    <row r="823" spans="1:9" x14ac:dyDescent="0.2">
      <c r="A823" s="2">
        <v>12</v>
      </c>
      <c r="B823" s="1" t="s">
        <v>109</v>
      </c>
      <c r="C823" s="4">
        <v>71</v>
      </c>
      <c r="D823" s="8">
        <v>2.62</v>
      </c>
      <c r="E823" s="4">
        <v>31</v>
      </c>
      <c r="F823" s="8">
        <v>3.5</v>
      </c>
      <c r="G823" s="4">
        <v>40</v>
      </c>
      <c r="H823" s="8">
        <v>2.2000000000000002</v>
      </c>
      <c r="I823" s="4">
        <v>0</v>
      </c>
    </row>
    <row r="824" spans="1:9" x14ac:dyDescent="0.2">
      <c r="A824" s="2">
        <v>13</v>
      </c>
      <c r="B824" s="1" t="s">
        <v>110</v>
      </c>
      <c r="C824" s="4">
        <v>54</v>
      </c>
      <c r="D824" s="8">
        <v>1.99</v>
      </c>
      <c r="E824" s="4">
        <v>18</v>
      </c>
      <c r="F824" s="8">
        <v>2.0299999999999998</v>
      </c>
      <c r="G824" s="4">
        <v>36</v>
      </c>
      <c r="H824" s="8">
        <v>1.98</v>
      </c>
      <c r="I824" s="4">
        <v>0</v>
      </c>
    </row>
    <row r="825" spans="1:9" x14ac:dyDescent="0.2">
      <c r="A825" s="2">
        <v>14</v>
      </c>
      <c r="B825" s="1" t="s">
        <v>100</v>
      </c>
      <c r="C825" s="4">
        <v>53</v>
      </c>
      <c r="D825" s="8">
        <v>1.95</v>
      </c>
      <c r="E825" s="4">
        <v>13</v>
      </c>
      <c r="F825" s="8">
        <v>1.47</v>
      </c>
      <c r="G825" s="4">
        <v>40</v>
      </c>
      <c r="H825" s="8">
        <v>2.2000000000000002</v>
      </c>
      <c r="I825" s="4">
        <v>0</v>
      </c>
    </row>
    <row r="826" spans="1:9" x14ac:dyDescent="0.2">
      <c r="A826" s="2">
        <v>15</v>
      </c>
      <c r="B826" s="1" t="s">
        <v>107</v>
      </c>
      <c r="C826" s="4">
        <v>47</v>
      </c>
      <c r="D826" s="8">
        <v>1.73</v>
      </c>
      <c r="E826" s="4">
        <v>4</v>
      </c>
      <c r="F826" s="8">
        <v>0.45</v>
      </c>
      <c r="G826" s="4">
        <v>43</v>
      </c>
      <c r="H826" s="8">
        <v>2.36</v>
      </c>
      <c r="I826" s="4">
        <v>0</v>
      </c>
    </row>
    <row r="827" spans="1:9" x14ac:dyDescent="0.2">
      <c r="A827" s="2">
        <v>16</v>
      </c>
      <c r="B827" s="1" t="s">
        <v>101</v>
      </c>
      <c r="C827" s="4">
        <v>44</v>
      </c>
      <c r="D827" s="8">
        <v>1.62</v>
      </c>
      <c r="E827" s="4">
        <v>5</v>
      </c>
      <c r="F827" s="8">
        <v>0.56000000000000005</v>
      </c>
      <c r="G827" s="4">
        <v>39</v>
      </c>
      <c r="H827" s="8">
        <v>2.14</v>
      </c>
      <c r="I827" s="4">
        <v>0</v>
      </c>
    </row>
    <row r="828" spans="1:9" x14ac:dyDescent="0.2">
      <c r="A828" s="2">
        <v>17</v>
      </c>
      <c r="B828" s="1" t="s">
        <v>113</v>
      </c>
      <c r="C828" s="4">
        <v>38</v>
      </c>
      <c r="D828" s="8">
        <v>1.4</v>
      </c>
      <c r="E828" s="4">
        <v>13</v>
      </c>
      <c r="F828" s="8">
        <v>1.47</v>
      </c>
      <c r="G828" s="4">
        <v>25</v>
      </c>
      <c r="H828" s="8">
        <v>1.37</v>
      </c>
      <c r="I828" s="4">
        <v>0</v>
      </c>
    </row>
    <row r="829" spans="1:9" x14ac:dyDescent="0.2">
      <c r="A829" s="2">
        <v>18</v>
      </c>
      <c r="B829" s="1" t="s">
        <v>131</v>
      </c>
      <c r="C829" s="4">
        <v>37</v>
      </c>
      <c r="D829" s="8">
        <v>1.36</v>
      </c>
      <c r="E829" s="4">
        <v>8</v>
      </c>
      <c r="F829" s="8">
        <v>0.9</v>
      </c>
      <c r="G829" s="4">
        <v>29</v>
      </c>
      <c r="H829" s="8">
        <v>1.59</v>
      </c>
      <c r="I829" s="4">
        <v>0</v>
      </c>
    </row>
    <row r="830" spans="1:9" x14ac:dyDescent="0.2">
      <c r="A830" s="2">
        <v>18</v>
      </c>
      <c r="B830" s="1" t="s">
        <v>125</v>
      </c>
      <c r="C830" s="4">
        <v>37</v>
      </c>
      <c r="D830" s="8">
        <v>1.36</v>
      </c>
      <c r="E830" s="4">
        <v>4</v>
      </c>
      <c r="F830" s="8">
        <v>0.45</v>
      </c>
      <c r="G830" s="4">
        <v>33</v>
      </c>
      <c r="H830" s="8">
        <v>1.81</v>
      </c>
      <c r="I830" s="4">
        <v>0</v>
      </c>
    </row>
    <row r="831" spans="1:9" x14ac:dyDescent="0.2">
      <c r="A831" s="2">
        <v>20</v>
      </c>
      <c r="B831" s="1" t="s">
        <v>102</v>
      </c>
      <c r="C831" s="4">
        <v>36</v>
      </c>
      <c r="D831" s="8">
        <v>1.33</v>
      </c>
      <c r="E831" s="4">
        <v>3</v>
      </c>
      <c r="F831" s="8">
        <v>0.34</v>
      </c>
      <c r="G831" s="4">
        <v>33</v>
      </c>
      <c r="H831" s="8">
        <v>1.81</v>
      </c>
      <c r="I831" s="4">
        <v>0</v>
      </c>
    </row>
    <row r="832" spans="1:9" x14ac:dyDescent="0.2">
      <c r="A832" s="2">
        <v>20</v>
      </c>
      <c r="B832" s="1" t="s">
        <v>103</v>
      </c>
      <c r="C832" s="4">
        <v>36</v>
      </c>
      <c r="D832" s="8">
        <v>1.33</v>
      </c>
      <c r="E832" s="4">
        <v>15</v>
      </c>
      <c r="F832" s="8">
        <v>1.69</v>
      </c>
      <c r="G832" s="4">
        <v>21</v>
      </c>
      <c r="H832" s="8">
        <v>1.1499999999999999</v>
      </c>
      <c r="I832" s="4">
        <v>0</v>
      </c>
    </row>
    <row r="833" spans="1:9" x14ac:dyDescent="0.2">
      <c r="A833" s="1"/>
      <c r="C833" s="4"/>
      <c r="D833" s="8"/>
      <c r="E833" s="4"/>
      <c r="F833" s="8"/>
      <c r="G833" s="4"/>
      <c r="H833" s="8"/>
      <c r="I833" s="4"/>
    </row>
    <row r="834" spans="1:9" x14ac:dyDescent="0.2">
      <c r="A834" s="1" t="s">
        <v>37</v>
      </c>
      <c r="C834" s="4"/>
      <c r="D834" s="8"/>
      <c r="E834" s="4"/>
      <c r="F834" s="8"/>
      <c r="G834" s="4"/>
      <c r="H834" s="8"/>
      <c r="I834" s="4"/>
    </row>
    <row r="835" spans="1:9" x14ac:dyDescent="0.2">
      <c r="A835" s="2">
        <v>1</v>
      </c>
      <c r="B835" s="1" t="s">
        <v>112</v>
      </c>
      <c r="C835" s="4">
        <v>150</v>
      </c>
      <c r="D835" s="8">
        <v>11.6</v>
      </c>
      <c r="E835" s="4">
        <v>121</v>
      </c>
      <c r="F835" s="8">
        <v>20.75</v>
      </c>
      <c r="G835" s="4">
        <v>29</v>
      </c>
      <c r="H835" s="8">
        <v>4.13</v>
      </c>
      <c r="I835" s="4">
        <v>0</v>
      </c>
    </row>
    <row r="836" spans="1:9" x14ac:dyDescent="0.2">
      <c r="A836" s="2">
        <v>2</v>
      </c>
      <c r="B836" s="1" t="s">
        <v>108</v>
      </c>
      <c r="C836" s="4">
        <v>123</v>
      </c>
      <c r="D836" s="8">
        <v>9.51</v>
      </c>
      <c r="E836" s="4">
        <v>36</v>
      </c>
      <c r="F836" s="8">
        <v>6.17</v>
      </c>
      <c r="G836" s="4">
        <v>87</v>
      </c>
      <c r="H836" s="8">
        <v>12.39</v>
      </c>
      <c r="I836" s="4">
        <v>0</v>
      </c>
    </row>
    <row r="837" spans="1:9" x14ac:dyDescent="0.2">
      <c r="A837" s="2">
        <v>3</v>
      </c>
      <c r="B837" s="1" t="s">
        <v>111</v>
      </c>
      <c r="C837" s="4">
        <v>105</v>
      </c>
      <c r="D837" s="8">
        <v>8.1199999999999992</v>
      </c>
      <c r="E837" s="4">
        <v>86</v>
      </c>
      <c r="F837" s="8">
        <v>14.75</v>
      </c>
      <c r="G837" s="4">
        <v>19</v>
      </c>
      <c r="H837" s="8">
        <v>2.71</v>
      </c>
      <c r="I837" s="4">
        <v>0</v>
      </c>
    </row>
    <row r="838" spans="1:9" x14ac:dyDescent="0.2">
      <c r="A838" s="2">
        <v>4</v>
      </c>
      <c r="B838" s="1" t="s">
        <v>114</v>
      </c>
      <c r="C838" s="4">
        <v>77</v>
      </c>
      <c r="D838" s="8">
        <v>5.96</v>
      </c>
      <c r="E838" s="4">
        <v>45</v>
      </c>
      <c r="F838" s="8">
        <v>7.72</v>
      </c>
      <c r="G838" s="4">
        <v>28</v>
      </c>
      <c r="H838" s="8">
        <v>3.99</v>
      </c>
      <c r="I838" s="4">
        <v>1</v>
      </c>
    </row>
    <row r="839" spans="1:9" x14ac:dyDescent="0.2">
      <c r="A839" s="2">
        <v>5</v>
      </c>
      <c r="B839" s="1" t="s">
        <v>98</v>
      </c>
      <c r="C839" s="4">
        <v>76</v>
      </c>
      <c r="D839" s="8">
        <v>5.88</v>
      </c>
      <c r="E839" s="4">
        <v>27</v>
      </c>
      <c r="F839" s="8">
        <v>4.63</v>
      </c>
      <c r="G839" s="4">
        <v>49</v>
      </c>
      <c r="H839" s="8">
        <v>6.98</v>
      </c>
      <c r="I839" s="4">
        <v>0</v>
      </c>
    </row>
    <row r="840" spans="1:9" x14ac:dyDescent="0.2">
      <c r="A840" s="2">
        <v>6</v>
      </c>
      <c r="B840" s="1" t="s">
        <v>106</v>
      </c>
      <c r="C840" s="4">
        <v>70</v>
      </c>
      <c r="D840" s="8">
        <v>5.41</v>
      </c>
      <c r="E840" s="4">
        <v>25</v>
      </c>
      <c r="F840" s="8">
        <v>4.29</v>
      </c>
      <c r="G840" s="4">
        <v>45</v>
      </c>
      <c r="H840" s="8">
        <v>6.41</v>
      </c>
      <c r="I840" s="4">
        <v>0</v>
      </c>
    </row>
    <row r="841" spans="1:9" x14ac:dyDescent="0.2">
      <c r="A841" s="2">
        <v>7</v>
      </c>
      <c r="B841" s="1" t="s">
        <v>97</v>
      </c>
      <c r="C841" s="4">
        <v>69</v>
      </c>
      <c r="D841" s="8">
        <v>5.34</v>
      </c>
      <c r="E841" s="4">
        <v>13</v>
      </c>
      <c r="F841" s="8">
        <v>2.23</v>
      </c>
      <c r="G841" s="4">
        <v>56</v>
      </c>
      <c r="H841" s="8">
        <v>7.98</v>
      </c>
      <c r="I841" s="4">
        <v>0</v>
      </c>
    </row>
    <row r="842" spans="1:9" x14ac:dyDescent="0.2">
      <c r="A842" s="2">
        <v>8</v>
      </c>
      <c r="B842" s="1" t="s">
        <v>99</v>
      </c>
      <c r="C842" s="4">
        <v>53</v>
      </c>
      <c r="D842" s="8">
        <v>4.0999999999999996</v>
      </c>
      <c r="E842" s="4">
        <v>14</v>
      </c>
      <c r="F842" s="8">
        <v>2.4</v>
      </c>
      <c r="G842" s="4">
        <v>39</v>
      </c>
      <c r="H842" s="8">
        <v>5.56</v>
      </c>
      <c r="I842" s="4">
        <v>0</v>
      </c>
    </row>
    <row r="843" spans="1:9" x14ac:dyDescent="0.2">
      <c r="A843" s="2">
        <v>9</v>
      </c>
      <c r="B843" s="1" t="s">
        <v>105</v>
      </c>
      <c r="C843" s="4">
        <v>52</v>
      </c>
      <c r="D843" s="8">
        <v>4.0199999999999996</v>
      </c>
      <c r="E843" s="4">
        <v>26</v>
      </c>
      <c r="F843" s="8">
        <v>4.46</v>
      </c>
      <c r="G843" s="4">
        <v>26</v>
      </c>
      <c r="H843" s="8">
        <v>3.7</v>
      </c>
      <c r="I843" s="4">
        <v>0</v>
      </c>
    </row>
    <row r="844" spans="1:9" x14ac:dyDescent="0.2">
      <c r="A844" s="2">
        <v>10</v>
      </c>
      <c r="B844" s="1" t="s">
        <v>113</v>
      </c>
      <c r="C844" s="4">
        <v>47</v>
      </c>
      <c r="D844" s="8">
        <v>3.63</v>
      </c>
      <c r="E844" s="4">
        <v>34</v>
      </c>
      <c r="F844" s="8">
        <v>5.83</v>
      </c>
      <c r="G844" s="4">
        <v>13</v>
      </c>
      <c r="H844" s="8">
        <v>1.85</v>
      </c>
      <c r="I844" s="4">
        <v>0</v>
      </c>
    </row>
    <row r="845" spans="1:9" x14ac:dyDescent="0.2">
      <c r="A845" s="2">
        <v>11</v>
      </c>
      <c r="B845" s="1" t="s">
        <v>104</v>
      </c>
      <c r="C845" s="4">
        <v>43</v>
      </c>
      <c r="D845" s="8">
        <v>3.33</v>
      </c>
      <c r="E845" s="4">
        <v>26</v>
      </c>
      <c r="F845" s="8">
        <v>4.46</v>
      </c>
      <c r="G845" s="4">
        <v>17</v>
      </c>
      <c r="H845" s="8">
        <v>2.42</v>
      </c>
      <c r="I845" s="4">
        <v>0</v>
      </c>
    </row>
    <row r="846" spans="1:9" x14ac:dyDescent="0.2">
      <c r="A846" s="2">
        <v>12</v>
      </c>
      <c r="B846" s="1" t="s">
        <v>115</v>
      </c>
      <c r="C846" s="4">
        <v>40</v>
      </c>
      <c r="D846" s="8">
        <v>3.09</v>
      </c>
      <c r="E846" s="4">
        <v>36</v>
      </c>
      <c r="F846" s="8">
        <v>6.17</v>
      </c>
      <c r="G846" s="4">
        <v>4</v>
      </c>
      <c r="H846" s="8">
        <v>0.56999999999999995</v>
      </c>
      <c r="I846" s="4">
        <v>0</v>
      </c>
    </row>
    <row r="847" spans="1:9" x14ac:dyDescent="0.2">
      <c r="A847" s="2">
        <v>13</v>
      </c>
      <c r="B847" s="1" t="s">
        <v>109</v>
      </c>
      <c r="C847" s="4">
        <v>34</v>
      </c>
      <c r="D847" s="8">
        <v>2.63</v>
      </c>
      <c r="E847" s="4">
        <v>22</v>
      </c>
      <c r="F847" s="8">
        <v>3.77</v>
      </c>
      <c r="G847" s="4">
        <v>11</v>
      </c>
      <c r="H847" s="8">
        <v>1.57</v>
      </c>
      <c r="I847" s="4">
        <v>1</v>
      </c>
    </row>
    <row r="848" spans="1:9" x14ac:dyDescent="0.2">
      <c r="A848" s="2">
        <v>14</v>
      </c>
      <c r="B848" s="1" t="s">
        <v>107</v>
      </c>
      <c r="C848" s="4">
        <v>31</v>
      </c>
      <c r="D848" s="8">
        <v>2.4</v>
      </c>
      <c r="E848" s="4">
        <v>6</v>
      </c>
      <c r="F848" s="8">
        <v>1.03</v>
      </c>
      <c r="G848" s="4">
        <v>25</v>
      </c>
      <c r="H848" s="8">
        <v>3.56</v>
      </c>
      <c r="I848" s="4">
        <v>0</v>
      </c>
    </row>
    <row r="849" spans="1:9" x14ac:dyDescent="0.2">
      <c r="A849" s="2">
        <v>14</v>
      </c>
      <c r="B849" s="1" t="s">
        <v>110</v>
      </c>
      <c r="C849" s="4">
        <v>31</v>
      </c>
      <c r="D849" s="8">
        <v>2.4</v>
      </c>
      <c r="E849" s="4">
        <v>11</v>
      </c>
      <c r="F849" s="8">
        <v>1.89</v>
      </c>
      <c r="G849" s="4">
        <v>18</v>
      </c>
      <c r="H849" s="8">
        <v>2.56</v>
      </c>
      <c r="I849" s="4">
        <v>0</v>
      </c>
    </row>
    <row r="850" spans="1:9" x14ac:dyDescent="0.2">
      <c r="A850" s="2">
        <v>16</v>
      </c>
      <c r="B850" s="1" t="s">
        <v>103</v>
      </c>
      <c r="C850" s="4">
        <v>24</v>
      </c>
      <c r="D850" s="8">
        <v>1.86</v>
      </c>
      <c r="E850" s="4">
        <v>4</v>
      </c>
      <c r="F850" s="8">
        <v>0.69</v>
      </c>
      <c r="G850" s="4">
        <v>20</v>
      </c>
      <c r="H850" s="8">
        <v>2.85</v>
      </c>
      <c r="I850" s="4">
        <v>0</v>
      </c>
    </row>
    <row r="851" spans="1:9" x14ac:dyDescent="0.2">
      <c r="A851" s="2">
        <v>17</v>
      </c>
      <c r="B851" s="1" t="s">
        <v>117</v>
      </c>
      <c r="C851" s="4">
        <v>17</v>
      </c>
      <c r="D851" s="8">
        <v>1.31</v>
      </c>
      <c r="E851" s="4">
        <v>1</v>
      </c>
      <c r="F851" s="8">
        <v>0.17</v>
      </c>
      <c r="G851" s="4">
        <v>16</v>
      </c>
      <c r="H851" s="8">
        <v>2.2799999999999998</v>
      </c>
      <c r="I851" s="4">
        <v>0</v>
      </c>
    </row>
    <row r="852" spans="1:9" x14ac:dyDescent="0.2">
      <c r="A852" s="2">
        <v>18</v>
      </c>
      <c r="B852" s="1" t="s">
        <v>100</v>
      </c>
      <c r="C852" s="4">
        <v>16</v>
      </c>
      <c r="D852" s="8">
        <v>1.24</v>
      </c>
      <c r="E852" s="4">
        <v>3</v>
      </c>
      <c r="F852" s="8">
        <v>0.51</v>
      </c>
      <c r="G852" s="4">
        <v>13</v>
      </c>
      <c r="H852" s="8">
        <v>1.85</v>
      </c>
      <c r="I852" s="4">
        <v>0</v>
      </c>
    </row>
    <row r="853" spans="1:9" x14ac:dyDescent="0.2">
      <c r="A853" s="2">
        <v>18</v>
      </c>
      <c r="B853" s="1" t="s">
        <v>119</v>
      </c>
      <c r="C853" s="4">
        <v>16</v>
      </c>
      <c r="D853" s="8">
        <v>1.24</v>
      </c>
      <c r="E853" s="4">
        <v>1</v>
      </c>
      <c r="F853" s="8">
        <v>0.17</v>
      </c>
      <c r="G853" s="4">
        <v>14</v>
      </c>
      <c r="H853" s="8">
        <v>1.99</v>
      </c>
      <c r="I853" s="4">
        <v>1</v>
      </c>
    </row>
    <row r="854" spans="1:9" x14ac:dyDescent="0.2">
      <c r="A854" s="2">
        <v>20</v>
      </c>
      <c r="B854" s="1" t="s">
        <v>101</v>
      </c>
      <c r="C854" s="4">
        <v>15</v>
      </c>
      <c r="D854" s="8">
        <v>1.1599999999999999</v>
      </c>
      <c r="E854" s="4">
        <v>1</v>
      </c>
      <c r="F854" s="8">
        <v>0.17</v>
      </c>
      <c r="G854" s="4">
        <v>14</v>
      </c>
      <c r="H854" s="8">
        <v>1.99</v>
      </c>
      <c r="I854" s="4">
        <v>0</v>
      </c>
    </row>
    <row r="855" spans="1:9" x14ac:dyDescent="0.2">
      <c r="A855" s="1"/>
      <c r="C855" s="4"/>
      <c r="D855" s="8"/>
      <c r="E855" s="4"/>
      <c r="F855" s="8"/>
      <c r="G855" s="4"/>
      <c r="H855" s="8"/>
      <c r="I855" s="4"/>
    </row>
    <row r="856" spans="1:9" x14ac:dyDescent="0.2">
      <c r="A856" s="1" t="s">
        <v>38</v>
      </c>
      <c r="C856" s="4"/>
      <c r="D856" s="8"/>
      <c r="E856" s="4"/>
      <c r="F856" s="8"/>
      <c r="G856" s="4"/>
      <c r="H856" s="8"/>
      <c r="I856" s="4"/>
    </row>
    <row r="857" spans="1:9" x14ac:dyDescent="0.2">
      <c r="A857" s="2">
        <v>1</v>
      </c>
      <c r="B857" s="1" t="s">
        <v>112</v>
      </c>
      <c r="C857" s="4">
        <v>314</v>
      </c>
      <c r="D857" s="8">
        <v>12.19</v>
      </c>
      <c r="E857" s="4">
        <v>262</v>
      </c>
      <c r="F857" s="8">
        <v>20.93</v>
      </c>
      <c r="G857" s="4">
        <v>52</v>
      </c>
      <c r="H857" s="8">
        <v>3.98</v>
      </c>
      <c r="I857" s="4">
        <v>0</v>
      </c>
    </row>
    <row r="858" spans="1:9" x14ac:dyDescent="0.2">
      <c r="A858" s="2">
        <v>2</v>
      </c>
      <c r="B858" s="1" t="s">
        <v>108</v>
      </c>
      <c r="C858" s="4">
        <v>194</v>
      </c>
      <c r="D858" s="8">
        <v>7.53</v>
      </c>
      <c r="E858" s="4">
        <v>100</v>
      </c>
      <c r="F858" s="8">
        <v>7.99</v>
      </c>
      <c r="G858" s="4">
        <v>94</v>
      </c>
      <c r="H858" s="8">
        <v>7.19</v>
      </c>
      <c r="I858" s="4">
        <v>0</v>
      </c>
    </row>
    <row r="859" spans="1:9" x14ac:dyDescent="0.2">
      <c r="A859" s="2">
        <v>3</v>
      </c>
      <c r="B859" s="1" t="s">
        <v>97</v>
      </c>
      <c r="C859" s="4">
        <v>190</v>
      </c>
      <c r="D859" s="8">
        <v>7.38</v>
      </c>
      <c r="E859" s="4">
        <v>42</v>
      </c>
      <c r="F859" s="8">
        <v>3.35</v>
      </c>
      <c r="G859" s="4">
        <v>148</v>
      </c>
      <c r="H859" s="8">
        <v>11.32</v>
      </c>
      <c r="I859" s="4">
        <v>0</v>
      </c>
    </row>
    <row r="860" spans="1:9" x14ac:dyDescent="0.2">
      <c r="A860" s="2">
        <v>4</v>
      </c>
      <c r="B860" s="1" t="s">
        <v>111</v>
      </c>
      <c r="C860" s="4">
        <v>173</v>
      </c>
      <c r="D860" s="8">
        <v>6.72</v>
      </c>
      <c r="E860" s="4">
        <v>150</v>
      </c>
      <c r="F860" s="8">
        <v>11.98</v>
      </c>
      <c r="G860" s="4">
        <v>23</v>
      </c>
      <c r="H860" s="8">
        <v>1.76</v>
      </c>
      <c r="I860" s="4">
        <v>0</v>
      </c>
    </row>
    <row r="861" spans="1:9" x14ac:dyDescent="0.2">
      <c r="A861" s="2">
        <v>5</v>
      </c>
      <c r="B861" s="1" t="s">
        <v>106</v>
      </c>
      <c r="C861" s="4">
        <v>162</v>
      </c>
      <c r="D861" s="8">
        <v>6.29</v>
      </c>
      <c r="E861" s="4">
        <v>80</v>
      </c>
      <c r="F861" s="8">
        <v>6.39</v>
      </c>
      <c r="G861" s="4">
        <v>82</v>
      </c>
      <c r="H861" s="8">
        <v>6.27</v>
      </c>
      <c r="I861" s="4">
        <v>0</v>
      </c>
    </row>
    <row r="862" spans="1:9" x14ac:dyDescent="0.2">
      <c r="A862" s="2">
        <v>6</v>
      </c>
      <c r="B862" s="1" t="s">
        <v>98</v>
      </c>
      <c r="C862" s="4">
        <v>130</v>
      </c>
      <c r="D862" s="8">
        <v>5.05</v>
      </c>
      <c r="E862" s="4">
        <v>57</v>
      </c>
      <c r="F862" s="8">
        <v>4.55</v>
      </c>
      <c r="G862" s="4">
        <v>73</v>
      </c>
      <c r="H862" s="8">
        <v>5.59</v>
      </c>
      <c r="I862" s="4">
        <v>0</v>
      </c>
    </row>
    <row r="863" spans="1:9" x14ac:dyDescent="0.2">
      <c r="A863" s="2">
        <v>7</v>
      </c>
      <c r="B863" s="1" t="s">
        <v>104</v>
      </c>
      <c r="C863" s="4">
        <v>122</v>
      </c>
      <c r="D863" s="8">
        <v>4.74</v>
      </c>
      <c r="E863" s="4">
        <v>80</v>
      </c>
      <c r="F863" s="8">
        <v>6.39</v>
      </c>
      <c r="G863" s="4">
        <v>42</v>
      </c>
      <c r="H863" s="8">
        <v>3.21</v>
      </c>
      <c r="I863" s="4">
        <v>0</v>
      </c>
    </row>
    <row r="864" spans="1:9" x14ac:dyDescent="0.2">
      <c r="A864" s="2">
        <v>8</v>
      </c>
      <c r="B864" s="1" t="s">
        <v>115</v>
      </c>
      <c r="C864" s="4">
        <v>111</v>
      </c>
      <c r="D864" s="8">
        <v>4.3099999999999996</v>
      </c>
      <c r="E864" s="4">
        <v>97</v>
      </c>
      <c r="F864" s="8">
        <v>7.75</v>
      </c>
      <c r="G864" s="4">
        <v>14</v>
      </c>
      <c r="H864" s="8">
        <v>1.07</v>
      </c>
      <c r="I864" s="4">
        <v>0</v>
      </c>
    </row>
    <row r="865" spans="1:9" x14ac:dyDescent="0.2">
      <c r="A865" s="2">
        <v>9</v>
      </c>
      <c r="B865" s="1" t="s">
        <v>114</v>
      </c>
      <c r="C865" s="4">
        <v>104</v>
      </c>
      <c r="D865" s="8">
        <v>4.04</v>
      </c>
      <c r="E865" s="4">
        <v>76</v>
      </c>
      <c r="F865" s="8">
        <v>6.07</v>
      </c>
      <c r="G865" s="4">
        <v>22</v>
      </c>
      <c r="H865" s="8">
        <v>1.68</v>
      </c>
      <c r="I865" s="4">
        <v>0</v>
      </c>
    </row>
    <row r="866" spans="1:9" x14ac:dyDescent="0.2">
      <c r="A866" s="2">
        <v>10</v>
      </c>
      <c r="B866" s="1" t="s">
        <v>99</v>
      </c>
      <c r="C866" s="4">
        <v>97</v>
      </c>
      <c r="D866" s="8">
        <v>3.77</v>
      </c>
      <c r="E866" s="4">
        <v>17</v>
      </c>
      <c r="F866" s="8">
        <v>1.36</v>
      </c>
      <c r="G866" s="4">
        <v>80</v>
      </c>
      <c r="H866" s="8">
        <v>6.12</v>
      </c>
      <c r="I866" s="4">
        <v>0</v>
      </c>
    </row>
    <row r="867" spans="1:9" x14ac:dyDescent="0.2">
      <c r="A867" s="2">
        <v>11</v>
      </c>
      <c r="B867" s="1" t="s">
        <v>103</v>
      </c>
      <c r="C867" s="4">
        <v>92</v>
      </c>
      <c r="D867" s="8">
        <v>3.57</v>
      </c>
      <c r="E867" s="4">
        <v>32</v>
      </c>
      <c r="F867" s="8">
        <v>2.56</v>
      </c>
      <c r="G867" s="4">
        <v>60</v>
      </c>
      <c r="H867" s="8">
        <v>4.59</v>
      </c>
      <c r="I867" s="4">
        <v>0</v>
      </c>
    </row>
    <row r="868" spans="1:9" x14ac:dyDescent="0.2">
      <c r="A868" s="2">
        <v>12</v>
      </c>
      <c r="B868" s="1" t="s">
        <v>105</v>
      </c>
      <c r="C868" s="4">
        <v>69</v>
      </c>
      <c r="D868" s="8">
        <v>2.68</v>
      </c>
      <c r="E868" s="4">
        <v>31</v>
      </c>
      <c r="F868" s="8">
        <v>2.48</v>
      </c>
      <c r="G868" s="4">
        <v>38</v>
      </c>
      <c r="H868" s="8">
        <v>2.91</v>
      </c>
      <c r="I868" s="4">
        <v>0</v>
      </c>
    </row>
    <row r="869" spans="1:9" x14ac:dyDescent="0.2">
      <c r="A869" s="2">
        <v>13</v>
      </c>
      <c r="B869" s="1" t="s">
        <v>110</v>
      </c>
      <c r="C869" s="4">
        <v>54</v>
      </c>
      <c r="D869" s="8">
        <v>2.1</v>
      </c>
      <c r="E869" s="4">
        <v>16</v>
      </c>
      <c r="F869" s="8">
        <v>1.28</v>
      </c>
      <c r="G869" s="4">
        <v>38</v>
      </c>
      <c r="H869" s="8">
        <v>2.91</v>
      </c>
      <c r="I869" s="4">
        <v>0</v>
      </c>
    </row>
    <row r="870" spans="1:9" x14ac:dyDescent="0.2">
      <c r="A870" s="2">
        <v>14</v>
      </c>
      <c r="B870" s="1" t="s">
        <v>109</v>
      </c>
      <c r="C870" s="4">
        <v>53</v>
      </c>
      <c r="D870" s="8">
        <v>2.06</v>
      </c>
      <c r="E870" s="4">
        <v>35</v>
      </c>
      <c r="F870" s="8">
        <v>2.8</v>
      </c>
      <c r="G870" s="4">
        <v>18</v>
      </c>
      <c r="H870" s="8">
        <v>1.38</v>
      </c>
      <c r="I870" s="4">
        <v>0</v>
      </c>
    </row>
    <row r="871" spans="1:9" x14ac:dyDescent="0.2">
      <c r="A871" s="2">
        <v>14</v>
      </c>
      <c r="B871" s="1" t="s">
        <v>113</v>
      </c>
      <c r="C871" s="4">
        <v>53</v>
      </c>
      <c r="D871" s="8">
        <v>2.06</v>
      </c>
      <c r="E871" s="4">
        <v>30</v>
      </c>
      <c r="F871" s="8">
        <v>2.4</v>
      </c>
      <c r="G871" s="4">
        <v>23</v>
      </c>
      <c r="H871" s="8">
        <v>1.76</v>
      </c>
      <c r="I871" s="4">
        <v>0</v>
      </c>
    </row>
    <row r="872" spans="1:9" x14ac:dyDescent="0.2">
      <c r="A872" s="2">
        <v>16</v>
      </c>
      <c r="B872" s="1" t="s">
        <v>116</v>
      </c>
      <c r="C872" s="4">
        <v>52</v>
      </c>
      <c r="D872" s="8">
        <v>2.02</v>
      </c>
      <c r="E872" s="4">
        <v>43</v>
      </c>
      <c r="F872" s="8">
        <v>3.43</v>
      </c>
      <c r="G872" s="4">
        <v>9</v>
      </c>
      <c r="H872" s="8">
        <v>0.69</v>
      </c>
      <c r="I872" s="4">
        <v>0</v>
      </c>
    </row>
    <row r="873" spans="1:9" x14ac:dyDescent="0.2">
      <c r="A873" s="2">
        <v>17</v>
      </c>
      <c r="B873" s="1" t="s">
        <v>101</v>
      </c>
      <c r="C873" s="4">
        <v>45</v>
      </c>
      <c r="D873" s="8">
        <v>1.75</v>
      </c>
      <c r="E873" s="4">
        <v>10</v>
      </c>
      <c r="F873" s="8">
        <v>0.8</v>
      </c>
      <c r="G873" s="4">
        <v>35</v>
      </c>
      <c r="H873" s="8">
        <v>2.68</v>
      </c>
      <c r="I873" s="4">
        <v>0</v>
      </c>
    </row>
    <row r="874" spans="1:9" x14ac:dyDescent="0.2">
      <c r="A874" s="2">
        <v>18</v>
      </c>
      <c r="B874" s="1" t="s">
        <v>118</v>
      </c>
      <c r="C874" s="4">
        <v>42</v>
      </c>
      <c r="D874" s="8">
        <v>1.63</v>
      </c>
      <c r="E874" s="4">
        <v>0</v>
      </c>
      <c r="F874" s="8">
        <v>0</v>
      </c>
      <c r="G874" s="4">
        <v>37</v>
      </c>
      <c r="H874" s="8">
        <v>2.83</v>
      </c>
      <c r="I874" s="4">
        <v>0</v>
      </c>
    </row>
    <row r="875" spans="1:9" x14ac:dyDescent="0.2">
      <c r="A875" s="2">
        <v>19</v>
      </c>
      <c r="B875" s="1" t="s">
        <v>102</v>
      </c>
      <c r="C875" s="4">
        <v>41</v>
      </c>
      <c r="D875" s="8">
        <v>1.59</v>
      </c>
      <c r="E875" s="4">
        <v>3</v>
      </c>
      <c r="F875" s="8">
        <v>0.24</v>
      </c>
      <c r="G875" s="4">
        <v>38</v>
      </c>
      <c r="H875" s="8">
        <v>2.91</v>
      </c>
      <c r="I875" s="4">
        <v>0</v>
      </c>
    </row>
    <row r="876" spans="1:9" x14ac:dyDescent="0.2">
      <c r="A876" s="2">
        <v>19</v>
      </c>
      <c r="B876" s="1" t="s">
        <v>107</v>
      </c>
      <c r="C876" s="4">
        <v>41</v>
      </c>
      <c r="D876" s="8">
        <v>1.59</v>
      </c>
      <c r="E876" s="4">
        <v>1</v>
      </c>
      <c r="F876" s="8">
        <v>0.08</v>
      </c>
      <c r="G876" s="4">
        <v>40</v>
      </c>
      <c r="H876" s="8">
        <v>3.06</v>
      </c>
      <c r="I876" s="4">
        <v>0</v>
      </c>
    </row>
    <row r="877" spans="1:9" x14ac:dyDescent="0.2">
      <c r="A877" s="1"/>
      <c r="C877" s="4"/>
      <c r="D877" s="8"/>
      <c r="E877" s="4"/>
      <c r="F877" s="8"/>
      <c r="G877" s="4"/>
      <c r="H877" s="8"/>
      <c r="I877" s="4"/>
    </row>
    <row r="878" spans="1:9" x14ac:dyDescent="0.2">
      <c r="A878" s="1" t="s">
        <v>39</v>
      </c>
      <c r="C878" s="4"/>
      <c r="D878" s="8"/>
      <c r="E878" s="4"/>
      <c r="F878" s="8"/>
      <c r="G878" s="4"/>
      <c r="H878" s="8"/>
      <c r="I878" s="4"/>
    </row>
    <row r="879" spans="1:9" x14ac:dyDescent="0.2">
      <c r="A879" s="2">
        <v>1</v>
      </c>
      <c r="B879" s="1" t="s">
        <v>112</v>
      </c>
      <c r="C879" s="4">
        <v>142</v>
      </c>
      <c r="D879" s="8">
        <v>12.56</v>
      </c>
      <c r="E879" s="4">
        <v>110</v>
      </c>
      <c r="F879" s="8">
        <v>20.48</v>
      </c>
      <c r="G879" s="4">
        <v>32</v>
      </c>
      <c r="H879" s="8">
        <v>5.41</v>
      </c>
      <c r="I879" s="4">
        <v>0</v>
      </c>
    </row>
    <row r="880" spans="1:9" x14ac:dyDescent="0.2">
      <c r="A880" s="2">
        <v>2</v>
      </c>
      <c r="B880" s="1" t="s">
        <v>111</v>
      </c>
      <c r="C880" s="4">
        <v>90</v>
      </c>
      <c r="D880" s="8">
        <v>7.96</v>
      </c>
      <c r="E880" s="4">
        <v>71</v>
      </c>
      <c r="F880" s="8">
        <v>13.22</v>
      </c>
      <c r="G880" s="4">
        <v>19</v>
      </c>
      <c r="H880" s="8">
        <v>3.21</v>
      </c>
      <c r="I880" s="4">
        <v>0</v>
      </c>
    </row>
    <row r="881" spans="1:9" x14ac:dyDescent="0.2">
      <c r="A881" s="2">
        <v>3</v>
      </c>
      <c r="B881" s="1" t="s">
        <v>108</v>
      </c>
      <c r="C881" s="4">
        <v>83</v>
      </c>
      <c r="D881" s="8">
        <v>7.34</v>
      </c>
      <c r="E881" s="4">
        <v>27</v>
      </c>
      <c r="F881" s="8">
        <v>5.03</v>
      </c>
      <c r="G881" s="4">
        <v>55</v>
      </c>
      <c r="H881" s="8">
        <v>9.31</v>
      </c>
      <c r="I881" s="4">
        <v>0</v>
      </c>
    </row>
    <row r="882" spans="1:9" x14ac:dyDescent="0.2">
      <c r="A882" s="2">
        <v>4</v>
      </c>
      <c r="B882" s="1" t="s">
        <v>106</v>
      </c>
      <c r="C882" s="4">
        <v>65</v>
      </c>
      <c r="D882" s="8">
        <v>5.75</v>
      </c>
      <c r="E882" s="4">
        <v>33</v>
      </c>
      <c r="F882" s="8">
        <v>6.15</v>
      </c>
      <c r="G882" s="4">
        <v>32</v>
      </c>
      <c r="H882" s="8">
        <v>5.41</v>
      </c>
      <c r="I882" s="4">
        <v>0</v>
      </c>
    </row>
    <row r="883" spans="1:9" x14ac:dyDescent="0.2">
      <c r="A883" s="2">
        <v>5</v>
      </c>
      <c r="B883" s="1" t="s">
        <v>98</v>
      </c>
      <c r="C883" s="4">
        <v>61</v>
      </c>
      <c r="D883" s="8">
        <v>5.39</v>
      </c>
      <c r="E883" s="4">
        <v>18</v>
      </c>
      <c r="F883" s="8">
        <v>3.35</v>
      </c>
      <c r="G883" s="4">
        <v>43</v>
      </c>
      <c r="H883" s="8">
        <v>7.28</v>
      </c>
      <c r="I883" s="4">
        <v>0</v>
      </c>
    </row>
    <row r="884" spans="1:9" x14ac:dyDescent="0.2">
      <c r="A884" s="2">
        <v>6</v>
      </c>
      <c r="B884" s="1" t="s">
        <v>97</v>
      </c>
      <c r="C884" s="4">
        <v>59</v>
      </c>
      <c r="D884" s="8">
        <v>5.22</v>
      </c>
      <c r="E884" s="4">
        <v>15</v>
      </c>
      <c r="F884" s="8">
        <v>2.79</v>
      </c>
      <c r="G884" s="4">
        <v>44</v>
      </c>
      <c r="H884" s="8">
        <v>7.45</v>
      </c>
      <c r="I884" s="4">
        <v>0</v>
      </c>
    </row>
    <row r="885" spans="1:9" x14ac:dyDescent="0.2">
      <c r="A885" s="2">
        <v>6</v>
      </c>
      <c r="B885" s="1" t="s">
        <v>115</v>
      </c>
      <c r="C885" s="4">
        <v>59</v>
      </c>
      <c r="D885" s="8">
        <v>5.22</v>
      </c>
      <c r="E885" s="4">
        <v>51</v>
      </c>
      <c r="F885" s="8">
        <v>9.5</v>
      </c>
      <c r="G885" s="4">
        <v>8</v>
      </c>
      <c r="H885" s="8">
        <v>1.35</v>
      </c>
      <c r="I885" s="4">
        <v>0</v>
      </c>
    </row>
    <row r="886" spans="1:9" x14ac:dyDescent="0.2">
      <c r="A886" s="2">
        <v>8</v>
      </c>
      <c r="B886" s="1" t="s">
        <v>99</v>
      </c>
      <c r="C886" s="4">
        <v>58</v>
      </c>
      <c r="D886" s="8">
        <v>5.13</v>
      </c>
      <c r="E886" s="4">
        <v>9</v>
      </c>
      <c r="F886" s="8">
        <v>1.68</v>
      </c>
      <c r="G886" s="4">
        <v>49</v>
      </c>
      <c r="H886" s="8">
        <v>8.2899999999999991</v>
      </c>
      <c r="I886" s="4">
        <v>0</v>
      </c>
    </row>
    <row r="887" spans="1:9" x14ac:dyDescent="0.2">
      <c r="A887" s="2">
        <v>9</v>
      </c>
      <c r="B887" s="1" t="s">
        <v>114</v>
      </c>
      <c r="C887" s="4">
        <v>48</v>
      </c>
      <c r="D887" s="8">
        <v>4.24</v>
      </c>
      <c r="E887" s="4">
        <v>33</v>
      </c>
      <c r="F887" s="8">
        <v>6.15</v>
      </c>
      <c r="G887" s="4">
        <v>15</v>
      </c>
      <c r="H887" s="8">
        <v>2.54</v>
      </c>
      <c r="I887" s="4">
        <v>0</v>
      </c>
    </row>
    <row r="888" spans="1:9" x14ac:dyDescent="0.2">
      <c r="A888" s="2">
        <v>10</v>
      </c>
      <c r="B888" s="1" t="s">
        <v>104</v>
      </c>
      <c r="C888" s="4">
        <v>42</v>
      </c>
      <c r="D888" s="8">
        <v>3.71</v>
      </c>
      <c r="E888" s="4">
        <v>32</v>
      </c>
      <c r="F888" s="8">
        <v>5.96</v>
      </c>
      <c r="G888" s="4">
        <v>10</v>
      </c>
      <c r="H888" s="8">
        <v>1.69</v>
      </c>
      <c r="I888" s="4">
        <v>0</v>
      </c>
    </row>
    <row r="889" spans="1:9" x14ac:dyDescent="0.2">
      <c r="A889" s="2">
        <v>11</v>
      </c>
      <c r="B889" s="1" t="s">
        <v>109</v>
      </c>
      <c r="C889" s="4">
        <v>31</v>
      </c>
      <c r="D889" s="8">
        <v>2.74</v>
      </c>
      <c r="E889" s="4">
        <v>20</v>
      </c>
      <c r="F889" s="8">
        <v>3.72</v>
      </c>
      <c r="G889" s="4">
        <v>11</v>
      </c>
      <c r="H889" s="8">
        <v>1.86</v>
      </c>
      <c r="I889" s="4">
        <v>0</v>
      </c>
    </row>
    <row r="890" spans="1:9" x14ac:dyDescent="0.2">
      <c r="A890" s="2">
        <v>11</v>
      </c>
      <c r="B890" s="1" t="s">
        <v>113</v>
      </c>
      <c r="C890" s="4">
        <v>31</v>
      </c>
      <c r="D890" s="8">
        <v>2.74</v>
      </c>
      <c r="E890" s="4">
        <v>23</v>
      </c>
      <c r="F890" s="8">
        <v>4.28</v>
      </c>
      <c r="G890" s="4">
        <v>8</v>
      </c>
      <c r="H890" s="8">
        <v>1.35</v>
      </c>
      <c r="I890" s="4">
        <v>0</v>
      </c>
    </row>
    <row r="891" spans="1:9" x14ac:dyDescent="0.2">
      <c r="A891" s="2">
        <v>13</v>
      </c>
      <c r="B891" s="1" t="s">
        <v>107</v>
      </c>
      <c r="C891" s="4">
        <v>28</v>
      </c>
      <c r="D891" s="8">
        <v>2.48</v>
      </c>
      <c r="E891" s="4">
        <v>4</v>
      </c>
      <c r="F891" s="8">
        <v>0.74</v>
      </c>
      <c r="G891" s="4">
        <v>24</v>
      </c>
      <c r="H891" s="8">
        <v>4.0599999999999996</v>
      </c>
      <c r="I891" s="4">
        <v>0</v>
      </c>
    </row>
    <row r="892" spans="1:9" x14ac:dyDescent="0.2">
      <c r="A892" s="2">
        <v>14</v>
      </c>
      <c r="B892" s="1" t="s">
        <v>105</v>
      </c>
      <c r="C892" s="4">
        <v>27</v>
      </c>
      <c r="D892" s="8">
        <v>2.39</v>
      </c>
      <c r="E892" s="4">
        <v>12</v>
      </c>
      <c r="F892" s="8">
        <v>2.23</v>
      </c>
      <c r="G892" s="4">
        <v>15</v>
      </c>
      <c r="H892" s="8">
        <v>2.54</v>
      </c>
      <c r="I892" s="4">
        <v>0</v>
      </c>
    </row>
    <row r="893" spans="1:9" x14ac:dyDescent="0.2">
      <c r="A893" s="2">
        <v>15</v>
      </c>
      <c r="B893" s="1" t="s">
        <v>110</v>
      </c>
      <c r="C893" s="4">
        <v>24</v>
      </c>
      <c r="D893" s="8">
        <v>2.12</v>
      </c>
      <c r="E893" s="4">
        <v>8</v>
      </c>
      <c r="F893" s="8">
        <v>1.49</v>
      </c>
      <c r="G893" s="4">
        <v>16</v>
      </c>
      <c r="H893" s="8">
        <v>2.71</v>
      </c>
      <c r="I893" s="4">
        <v>0</v>
      </c>
    </row>
    <row r="894" spans="1:9" x14ac:dyDescent="0.2">
      <c r="A894" s="2">
        <v>16</v>
      </c>
      <c r="B894" s="1" t="s">
        <v>102</v>
      </c>
      <c r="C894" s="4">
        <v>23</v>
      </c>
      <c r="D894" s="8">
        <v>2.0299999999999998</v>
      </c>
      <c r="E894" s="4">
        <v>3</v>
      </c>
      <c r="F894" s="8">
        <v>0.56000000000000005</v>
      </c>
      <c r="G894" s="4">
        <v>20</v>
      </c>
      <c r="H894" s="8">
        <v>3.38</v>
      </c>
      <c r="I894" s="4">
        <v>0</v>
      </c>
    </row>
    <row r="895" spans="1:9" x14ac:dyDescent="0.2">
      <c r="A895" s="2">
        <v>17</v>
      </c>
      <c r="B895" s="1" t="s">
        <v>103</v>
      </c>
      <c r="C895" s="4">
        <v>22</v>
      </c>
      <c r="D895" s="8">
        <v>1.95</v>
      </c>
      <c r="E895" s="4">
        <v>16</v>
      </c>
      <c r="F895" s="8">
        <v>2.98</v>
      </c>
      <c r="G895" s="4">
        <v>6</v>
      </c>
      <c r="H895" s="8">
        <v>1.02</v>
      </c>
      <c r="I895" s="4">
        <v>0</v>
      </c>
    </row>
    <row r="896" spans="1:9" x14ac:dyDescent="0.2">
      <c r="A896" s="2">
        <v>17</v>
      </c>
      <c r="B896" s="1" t="s">
        <v>116</v>
      </c>
      <c r="C896" s="4">
        <v>22</v>
      </c>
      <c r="D896" s="8">
        <v>1.95</v>
      </c>
      <c r="E896" s="4">
        <v>12</v>
      </c>
      <c r="F896" s="8">
        <v>2.23</v>
      </c>
      <c r="G896" s="4">
        <v>10</v>
      </c>
      <c r="H896" s="8">
        <v>1.69</v>
      </c>
      <c r="I896" s="4">
        <v>0</v>
      </c>
    </row>
    <row r="897" spans="1:9" x14ac:dyDescent="0.2">
      <c r="A897" s="2">
        <v>19</v>
      </c>
      <c r="B897" s="1" t="s">
        <v>120</v>
      </c>
      <c r="C897" s="4">
        <v>20</v>
      </c>
      <c r="D897" s="8">
        <v>1.77</v>
      </c>
      <c r="E897" s="4">
        <v>4</v>
      </c>
      <c r="F897" s="8">
        <v>0.74</v>
      </c>
      <c r="G897" s="4">
        <v>16</v>
      </c>
      <c r="H897" s="8">
        <v>2.71</v>
      </c>
      <c r="I897" s="4">
        <v>0</v>
      </c>
    </row>
    <row r="898" spans="1:9" x14ac:dyDescent="0.2">
      <c r="A898" s="2">
        <v>20</v>
      </c>
      <c r="B898" s="1" t="s">
        <v>101</v>
      </c>
      <c r="C898" s="4">
        <v>15</v>
      </c>
      <c r="D898" s="8">
        <v>1.33</v>
      </c>
      <c r="E898" s="4">
        <v>0</v>
      </c>
      <c r="F898" s="8">
        <v>0</v>
      </c>
      <c r="G898" s="4">
        <v>15</v>
      </c>
      <c r="H898" s="8">
        <v>2.54</v>
      </c>
      <c r="I898" s="4">
        <v>0</v>
      </c>
    </row>
    <row r="899" spans="1:9" x14ac:dyDescent="0.2">
      <c r="A899" s="2">
        <v>20</v>
      </c>
      <c r="B899" s="1" t="s">
        <v>118</v>
      </c>
      <c r="C899" s="4">
        <v>15</v>
      </c>
      <c r="D899" s="8">
        <v>1.33</v>
      </c>
      <c r="E899" s="4">
        <v>0</v>
      </c>
      <c r="F899" s="8">
        <v>0</v>
      </c>
      <c r="G899" s="4">
        <v>15</v>
      </c>
      <c r="H899" s="8">
        <v>2.54</v>
      </c>
      <c r="I899" s="4">
        <v>0</v>
      </c>
    </row>
    <row r="900" spans="1:9" x14ac:dyDescent="0.2">
      <c r="A900" s="1"/>
      <c r="C900" s="4"/>
      <c r="D900" s="8"/>
      <c r="E900" s="4"/>
      <c r="F900" s="8"/>
      <c r="G900" s="4"/>
      <c r="H900" s="8"/>
      <c r="I900" s="4"/>
    </row>
    <row r="901" spans="1:9" x14ac:dyDescent="0.2">
      <c r="A901" s="1" t="s">
        <v>40</v>
      </c>
      <c r="C901" s="4"/>
      <c r="D901" s="8"/>
      <c r="E901" s="4"/>
      <c r="F901" s="8"/>
      <c r="G901" s="4"/>
      <c r="H901" s="8"/>
      <c r="I901" s="4"/>
    </row>
    <row r="902" spans="1:9" x14ac:dyDescent="0.2">
      <c r="A902" s="2">
        <v>1</v>
      </c>
      <c r="B902" s="1" t="s">
        <v>100</v>
      </c>
      <c r="C902" s="4">
        <v>271</v>
      </c>
      <c r="D902" s="8">
        <v>10.220000000000001</v>
      </c>
      <c r="E902" s="4">
        <v>68</v>
      </c>
      <c r="F902" s="8">
        <v>7.38</v>
      </c>
      <c r="G902" s="4">
        <v>203</v>
      </c>
      <c r="H902" s="8">
        <v>11.78</v>
      </c>
      <c r="I902" s="4">
        <v>0</v>
      </c>
    </row>
    <row r="903" spans="1:9" x14ac:dyDescent="0.2">
      <c r="A903" s="2">
        <v>2</v>
      </c>
      <c r="B903" s="1" t="s">
        <v>108</v>
      </c>
      <c r="C903" s="4">
        <v>197</v>
      </c>
      <c r="D903" s="8">
        <v>7.43</v>
      </c>
      <c r="E903" s="4">
        <v>101</v>
      </c>
      <c r="F903" s="8">
        <v>10.97</v>
      </c>
      <c r="G903" s="4">
        <v>95</v>
      </c>
      <c r="H903" s="8">
        <v>5.51</v>
      </c>
      <c r="I903" s="4">
        <v>0</v>
      </c>
    </row>
    <row r="904" spans="1:9" x14ac:dyDescent="0.2">
      <c r="A904" s="2">
        <v>3</v>
      </c>
      <c r="B904" s="1" t="s">
        <v>98</v>
      </c>
      <c r="C904" s="4">
        <v>189</v>
      </c>
      <c r="D904" s="8">
        <v>7.13</v>
      </c>
      <c r="E904" s="4">
        <v>52</v>
      </c>
      <c r="F904" s="8">
        <v>5.65</v>
      </c>
      <c r="G904" s="4">
        <v>137</v>
      </c>
      <c r="H904" s="8">
        <v>7.95</v>
      </c>
      <c r="I904" s="4">
        <v>0</v>
      </c>
    </row>
    <row r="905" spans="1:9" x14ac:dyDescent="0.2">
      <c r="A905" s="2">
        <v>4</v>
      </c>
      <c r="B905" s="1" t="s">
        <v>112</v>
      </c>
      <c r="C905" s="4">
        <v>133</v>
      </c>
      <c r="D905" s="8">
        <v>5.0199999999999996</v>
      </c>
      <c r="E905" s="4">
        <v>115</v>
      </c>
      <c r="F905" s="8">
        <v>12.49</v>
      </c>
      <c r="G905" s="4">
        <v>18</v>
      </c>
      <c r="H905" s="8">
        <v>1.04</v>
      </c>
      <c r="I905" s="4">
        <v>0</v>
      </c>
    </row>
    <row r="906" spans="1:9" x14ac:dyDescent="0.2">
      <c r="A906" s="2">
        <v>5</v>
      </c>
      <c r="B906" s="1" t="s">
        <v>99</v>
      </c>
      <c r="C906" s="4">
        <v>132</v>
      </c>
      <c r="D906" s="8">
        <v>4.9800000000000004</v>
      </c>
      <c r="E906" s="4">
        <v>21</v>
      </c>
      <c r="F906" s="8">
        <v>2.2799999999999998</v>
      </c>
      <c r="G906" s="4">
        <v>111</v>
      </c>
      <c r="H906" s="8">
        <v>6.44</v>
      </c>
      <c r="I906" s="4">
        <v>0</v>
      </c>
    </row>
    <row r="907" spans="1:9" x14ac:dyDescent="0.2">
      <c r="A907" s="2">
        <v>6</v>
      </c>
      <c r="B907" s="1" t="s">
        <v>97</v>
      </c>
      <c r="C907" s="4">
        <v>129</v>
      </c>
      <c r="D907" s="8">
        <v>4.87</v>
      </c>
      <c r="E907" s="4">
        <v>15</v>
      </c>
      <c r="F907" s="8">
        <v>1.63</v>
      </c>
      <c r="G907" s="4">
        <v>114</v>
      </c>
      <c r="H907" s="8">
        <v>6.62</v>
      </c>
      <c r="I907" s="4">
        <v>0</v>
      </c>
    </row>
    <row r="908" spans="1:9" x14ac:dyDescent="0.2">
      <c r="A908" s="2">
        <v>7</v>
      </c>
      <c r="B908" s="1" t="s">
        <v>111</v>
      </c>
      <c r="C908" s="4">
        <v>118</v>
      </c>
      <c r="D908" s="8">
        <v>4.45</v>
      </c>
      <c r="E908" s="4">
        <v>104</v>
      </c>
      <c r="F908" s="8">
        <v>11.29</v>
      </c>
      <c r="G908" s="4">
        <v>14</v>
      </c>
      <c r="H908" s="8">
        <v>0.81</v>
      </c>
      <c r="I908" s="4">
        <v>0</v>
      </c>
    </row>
    <row r="909" spans="1:9" x14ac:dyDescent="0.2">
      <c r="A909" s="2">
        <v>8</v>
      </c>
      <c r="B909" s="1" t="s">
        <v>120</v>
      </c>
      <c r="C909" s="4">
        <v>83</v>
      </c>
      <c r="D909" s="8">
        <v>3.13</v>
      </c>
      <c r="E909" s="4">
        <v>24</v>
      </c>
      <c r="F909" s="8">
        <v>2.61</v>
      </c>
      <c r="G909" s="4">
        <v>59</v>
      </c>
      <c r="H909" s="8">
        <v>3.42</v>
      </c>
      <c r="I909" s="4">
        <v>0</v>
      </c>
    </row>
    <row r="910" spans="1:9" x14ac:dyDescent="0.2">
      <c r="A910" s="2">
        <v>9</v>
      </c>
      <c r="B910" s="1" t="s">
        <v>106</v>
      </c>
      <c r="C910" s="4">
        <v>81</v>
      </c>
      <c r="D910" s="8">
        <v>3.06</v>
      </c>
      <c r="E910" s="4">
        <v>35</v>
      </c>
      <c r="F910" s="8">
        <v>3.8</v>
      </c>
      <c r="G910" s="4">
        <v>46</v>
      </c>
      <c r="H910" s="8">
        <v>2.67</v>
      </c>
      <c r="I910" s="4">
        <v>0</v>
      </c>
    </row>
    <row r="911" spans="1:9" x14ac:dyDescent="0.2">
      <c r="A911" s="2">
        <v>10</v>
      </c>
      <c r="B911" s="1" t="s">
        <v>128</v>
      </c>
      <c r="C911" s="4">
        <v>68</v>
      </c>
      <c r="D911" s="8">
        <v>2.57</v>
      </c>
      <c r="E911" s="4">
        <v>8</v>
      </c>
      <c r="F911" s="8">
        <v>0.87</v>
      </c>
      <c r="G911" s="4">
        <v>60</v>
      </c>
      <c r="H911" s="8">
        <v>3.48</v>
      </c>
      <c r="I911" s="4">
        <v>0</v>
      </c>
    </row>
    <row r="912" spans="1:9" x14ac:dyDescent="0.2">
      <c r="A912" s="2">
        <v>11</v>
      </c>
      <c r="B912" s="1" t="s">
        <v>105</v>
      </c>
      <c r="C912" s="4">
        <v>65</v>
      </c>
      <c r="D912" s="8">
        <v>2.4500000000000002</v>
      </c>
      <c r="E912" s="4">
        <v>31</v>
      </c>
      <c r="F912" s="8">
        <v>3.37</v>
      </c>
      <c r="G912" s="4">
        <v>34</v>
      </c>
      <c r="H912" s="8">
        <v>1.97</v>
      </c>
      <c r="I912" s="4">
        <v>0</v>
      </c>
    </row>
    <row r="913" spans="1:9" x14ac:dyDescent="0.2">
      <c r="A913" s="2">
        <v>12</v>
      </c>
      <c r="B913" s="1" t="s">
        <v>130</v>
      </c>
      <c r="C913" s="4">
        <v>61</v>
      </c>
      <c r="D913" s="8">
        <v>2.2999999999999998</v>
      </c>
      <c r="E913" s="4">
        <v>16</v>
      </c>
      <c r="F913" s="8">
        <v>1.74</v>
      </c>
      <c r="G913" s="4">
        <v>45</v>
      </c>
      <c r="H913" s="8">
        <v>2.61</v>
      </c>
      <c r="I913" s="4">
        <v>0</v>
      </c>
    </row>
    <row r="914" spans="1:9" x14ac:dyDescent="0.2">
      <c r="A914" s="2">
        <v>13</v>
      </c>
      <c r="B914" s="1" t="s">
        <v>125</v>
      </c>
      <c r="C914" s="4">
        <v>57</v>
      </c>
      <c r="D914" s="8">
        <v>2.15</v>
      </c>
      <c r="E914" s="4">
        <v>15</v>
      </c>
      <c r="F914" s="8">
        <v>1.63</v>
      </c>
      <c r="G914" s="4">
        <v>42</v>
      </c>
      <c r="H914" s="8">
        <v>2.44</v>
      </c>
      <c r="I914" s="4">
        <v>0</v>
      </c>
    </row>
    <row r="915" spans="1:9" x14ac:dyDescent="0.2">
      <c r="A915" s="2">
        <v>14</v>
      </c>
      <c r="B915" s="1" t="s">
        <v>101</v>
      </c>
      <c r="C915" s="4">
        <v>53</v>
      </c>
      <c r="D915" s="8">
        <v>2</v>
      </c>
      <c r="E915" s="4">
        <v>5</v>
      </c>
      <c r="F915" s="8">
        <v>0.54</v>
      </c>
      <c r="G915" s="4">
        <v>48</v>
      </c>
      <c r="H915" s="8">
        <v>2.79</v>
      </c>
      <c r="I915" s="4">
        <v>0</v>
      </c>
    </row>
    <row r="916" spans="1:9" x14ac:dyDescent="0.2">
      <c r="A916" s="2">
        <v>14</v>
      </c>
      <c r="B916" s="1" t="s">
        <v>116</v>
      </c>
      <c r="C916" s="4">
        <v>53</v>
      </c>
      <c r="D916" s="8">
        <v>2</v>
      </c>
      <c r="E916" s="4">
        <v>20</v>
      </c>
      <c r="F916" s="8">
        <v>2.17</v>
      </c>
      <c r="G916" s="4">
        <v>33</v>
      </c>
      <c r="H916" s="8">
        <v>1.92</v>
      </c>
      <c r="I916" s="4">
        <v>0</v>
      </c>
    </row>
    <row r="917" spans="1:9" x14ac:dyDescent="0.2">
      <c r="A917" s="2">
        <v>16</v>
      </c>
      <c r="B917" s="1" t="s">
        <v>104</v>
      </c>
      <c r="C917" s="4">
        <v>51</v>
      </c>
      <c r="D917" s="8">
        <v>1.92</v>
      </c>
      <c r="E917" s="4">
        <v>36</v>
      </c>
      <c r="F917" s="8">
        <v>3.91</v>
      </c>
      <c r="G917" s="4">
        <v>15</v>
      </c>
      <c r="H917" s="8">
        <v>0.87</v>
      </c>
      <c r="I917" s="4">
        <v>0</v>
      </c>
    </row>
    <row r="918" spans="1:9" x14ac:dyDescent="0.2">
      <c r="A918" s="2">
        <v>17</v>
      </c>
      <c r="B918" s="1" t="s">
        <v>131</v>
      </c>
      <c r="C918" s="4">
        <v>48</v>
      </c>
      <c r="D918" s="8">
        <v>1.81</v>
      </c>
      <c r="E918" s="4">
        <v>6</v>
      </c>
      <c r="F918" s="8">
        <v>0.65</v>
      </c>
      <c r="G918" s="4">
        <v>42</v>
      </c>
      <c r="H918" s="8">
        <v>2.44</v>
      </c>
      <c r="I918" s="4">
        <v>0</v>
      </c>
    </row>
    <row r="919" spans="1:9" x14ac:dyDescent="0.2">
      <c r="A919" s="2">
        <v>18</v>
      </c>
      <c r="B919" s="1" t="s">
        <v>115</v>
      </c>
      <c r="C919" s="4">
        <v>47</v>
      </c>
      <c r="D919" s="8">
        <v>1.77</v>
      </c>
      <c r="E919" s="4">
        <v>37</v>
      </c>
      <c r="F919" s="8">
        <v>4.0199999999999996</v>
      </c>
      <c r="G919" s="4">
        <v>10</v>
      </c>
      <c r="H919" s="8">
        <v>0.57999999999999996</v>
      </c>
      <c r="I919" s="4">
        <v>0</v>
      </c>
    </row>
    <row r="920" spans="1:9" x14ac:dyDescent="0.2">
      <c r="A920" s="2">
        <v>19</v>
      </c>
      <c r="B920" s="1" t="s">
        <v>107</v>
      </c>
      <c r="C920" s="4">
        <v>46</v>
      </c>
      <c r="D920" s="8">
        <v>1.74</v>
      </c>
      <c r="E920" s="4">
        <v>3</v>
      </c>
      <c r="F920" s="8">
        <v>0.33</v>
      </c>
      <c r="G920" s="4">
        <v>43</v>
      </c>
      <c r="H920" s="8">
        <v>2.5</v>
      </c>
      <c r="I920" s="4">
        <v>0</v>
      </c>
    </row>
    <row r="921" spans="1:9" x14ac:dyDescent="0.2">
      <c r="A921" s="2">
        <v>20</v>
      </c>
      <c r="B921" s="1" t="s">
        <v>117</v>
      </c>
      <c r="C921" s="4">
        <v>41</v>
      </c>
      <c r="D921" s="8">
        <v>1.55</v>
      </c>
      <c r="E921" s="4">
        <v>7</v>
      </c>
      <c r="F921" s="8">
        <v>0.76</v>
      </c>
      <c r="G921" s="4">
        <v>34</v>
      </c>
      <c r="H921" s="8">
        <v>1.97</v>
      </c>
      <c r="I921" s="4">
        <v>0</v>
      </c>
    </row>
    <row r="922" spans="1:9" x14ac:dyDescent="0.2">
      <c r="A922" s="1"/>
      <c r="C922" s="4"/>
      <c r="D922" s="8"/>
      <c r="E922" s="4"/>
      <c r="F922" s="8"/>
      <c r="G922" s="4"/>
      <c r="H922" s="8"/>
      <c r="I922" s="4"/>
    </row>
    <row r="923" spans="1:9" x14ac:dyDescent="0.2">
      <c r="A923" s="1" t="s">
        <v>41</v>
      </c>
      <c r="C923" s="4"/>
      <c r="D923" s="8"/>
      <c r="E923" s="4"/>
      <c r="F923" s="8"/>
      <c r="G923" s="4"/>
      <c r="H923" s="8"/>
      <c r="I923" s="4"/>
    </row>
    <row r="924" spans="1:9" x14ac:dyDescent="0.2">
      <c r="A924" s="2">
        <v>1</v>
      </c>
      <c r="B924" s="1" t="s">
        <v>108</v>
      </c>
      <c r="C924" s="4">
        <v>212</v>
      </c>
      <c r="D924" s="8">
        <v>12.76</v>
      </c>
      <c r="E924" s="4">
        <v>65</v>
      </c>
      <c r="F924" s="8">
        <v>8.86</v>
      </c>
      <c r="G924" s="4">
        <v>147</v>
      </c>
      <c r="H924" s="8">
        <v>15.94</v>
      </c>
      <c r="I924" s="4">
        <v>0</v>
      </c>
    </row>
    <row r="925" spans="1:9" x14ac:dyDescent="0.2">
      <c r="A925" s="2">
        <v>2</v>
      </c>
      <c r="B925" s="1" t="s">
        <v>112</v>
      </c>
      <c r="C925" s="4">
        <v>206</v>
      </c>
      <c r="D925" s="8">
        <v>12.4</v>
      </c>
      <c r="E925" s="4">
        <v>158</v>
      </c>
      <c r="F925" s="8">
        <v>21.53</v>
      </c>
      <c r="G925" s="4">
        <v>48</v>
      </c>
      <c r="H925" s="8">
        <v>5.21</v>
      </c>
      <c r="I925" s="4">
        <v>0</v>
      </c>
    </row>
    <row r="926" spans="1:9" x14ac:dyDescent="0.2">
      <c r="A926" s="2">
        <v>3</v>
      </c>
      <c r="B926" s="1" t="s">
        <v>111</v>
      </c>
      <c r="C926" s="4">
        <v>189</v>
      </c>
      <c r="D926" s="8">
        <v>11.38</v>
      </c>
      <c r="E926" s="4">
        <v>153</v>
      </c>
      <c r="F926" s="8">
        <v>20.84</v>
      </c>
      <c r="G926" s="4">
        <v>36</v>
      </c>
      <c r="H926" s="8">
        <v>3.9</v>
      </c>
      <c r="I926" s="4">
        <v>0</v>
      </c>
    </row>
    <row r="927" spans="1:9" x14ac:dyDescent="0.2">
      <c r="A927" s="2">
        <v>4</v>
      </c>
      <c r="B927" s="1" t="s">
        <v>98</v>
      </c>
      <c r="C927" s="4">
        <v>104</v>
      </c>
      <c r="D927" s="8">
        <v>6.26</v>
      </c>
      <c r="E927" s="4">
        <v>31</v>
      </c>
      <c r="F927" s="8">
        <v>4.22</v>
      </c>
      <c r="G927" s="4">
        <v>73</v>
      </c>
      <c r="H927" s="8">
        <v>7.92</v>
      </c>
      <c r="I927" s="4">
        <v>0</v>
      </c>
    </row>
    <row r="928" spans="1:9" x14ac:dyDescent="0.2">
      <c r="A928" s="2">
        <v>5</v>
      </c>
      <c r="B928" s="1" t="s">
        <v>97</v>
      </c>
      <c r="C928" s="4">
        <v>73</v>
      </c>
      <c r="D928" s="8">
        <v>4.3899999999999997</v>
      </c>
      <c r="E928" s="4">
        <v>12</v>
      </c>
      <c r="F928" s="8">
        <v>1.63</v>
      </c>
      <c r="G928" s="4">
        <v>61</v>
      </c>
      <c r="H928" s="8">
        <v>6.62</v>
      </c>
      <c r="I928" s="4">
        <v>0</v>
      </c>
    </row>
    <row r="929" spans="1:9" x14ac:dyDescent="0.2">
      <c r="A929" s="2">
        <v>6</v>
      </c>
      <c r="B929" s="1" t="s">
        <v>106</v>
      </c>
      <c r="C929" s="4">
        <v>72</v>
      </c>
      <c r="D929" s="8">
        <v>4.33</v>
      </c>
      <c r="E929" s="4">
        <v>24</v>
      </c>
      <c r="F929" s="8">
        <v>3.27</v>
      </c>
      <c r="G929" s="4">
        <v>48</v>
      </c>
      <c r="H929" s="8">
        <v>5.21</v>
      </c>
      <c r="I929" s="4">
        <v>0</v>
      </c>
    </row>
    <row r="930" spans="1:9" x14ac:dyDescent="0.2">
      <c r="A930" s="2">
        <v>7</v>
      </c>
      <c r="B930" s="1" t="s">
        <v>99</v>
      </c>
      <c r="C930" s="4">
        <v>70</v>
      </c>
      <c r="D930" s="8">
        <v>4.21</v>
      </c>
      <c r="E930" s="4">
        <v>8</v>
      </c>
      <c r="F930" s="8">
        <v>1.0900000000000001</v>
      </c>
      <c r="G930" s="4">
        <v>62</v>
      </c>
      <c r="H930" s="8">
        <v>6.72</v>
      </c>
      <c r="I930" s="4">
        <v>0</v>
      </c>
    </row>
    <row r="931" spans="1:9" x14ac:dyDescent="0.2">
      <c r="A931" s="2">
        <v>8</v>
      </c>
      <c r="B931" s="1" t="s">
        <v>115</v>
      </c>
      <c r="C931" s="4">
        <v>65</v>
      </c>
      <c r="D931" s="8">
        <v>3.91</v>
      </c>
      <c r="E931" s="4">
        <v>55</v>
      </c>
      <c r="F931" s="8">
        <v>7.49</v>
      </c>
      <c r="G931" s="4">
        <v>10</v>
      </c>
      <c r="H931" s="8">
        <v>1.08</v>
      </c>
      <c r="I931" s="4">
        <v>0</v>
      </c>
    </row>
    <row r="932" spans="1:9" x14ac:dyDescent="0.2">
      <c r="A932" s="2">
        <v>9</v>
      </c>
      <c r="B932" s="1" t="s">
        <v>114</v>
      </c>
      <c r="C932" s="4">
        <v>64</v>
      </c>
      <c r="D932" s="8">
        <v>3.85</v>
      </c>
      <c r="E932" s="4">
        <v>44</v>
      </c>
      <c r="F932" s="8">
        <v>5.99</v>
      </c>
      <c r="G932" s="4">
        <v>17</v>
      </c>
      <c r="H932" s="8">
        <v>1.84</v>
      </c>
      <c r="I932" s="4">
        <v>0</v>
      </c>
    </row>
    <row r="933" spans="1:9" x14ac:dyDescent="0.2">
      <c r="A933" s="2">
        <v>10</v>
      </c>
      <c r="B933" s="1" t="s">
        <v>104</v>
      </c>
      <c r="C933" s="4">
        <v>60</v>
      </c>
      <c r="D933" s="8">
        <v>3.61</v>
      </c>
      <c r="E933" s="4">
        <v>37</v>
      </c>
      <c r="F933" s="8">
        <v>5.04</v>
      </c>
      <c r="G933" s="4">
        <v>23</v>
      </c>
      <c r="H933" s="8">
        <v>2.4900000000000002</v>
      </c>
      <c r="I933" s="4">
        <v>0</v>
      </c>
    </row>
    <row r="934" spans="1:9" x14ac:dyDescent="0.2">
      <c r="A934" s="2">
        <v>11</v>
      </c>
      <c r="B934" s="1" t="s">
        <v>103</v>
      </c>
      <c r="C934" s="4">
        <v>51</v>
      </c>
      <c r="D934" s="8">
        <v>3.07</v>
      </c>
      <c r="E934" s="4">
        <v>18</v>
      </c>
      <c r="F934" s="8">
        <v>2.4500000000000002</v>
      </c>
      <c r="G934" s="4">
        <v>33</v>
      </c>
      <c r="H934" s="8">
        <v>3.58</v>
      </c>
      <c r="I934" s="4">
        <v>0</v>
      </c>
    </row>
    <row r="935" spans="1:9" x14ac:dyDescent="0.2">
      <c r="A935" s="2">
        <v>12</v>
      </c>
      <c r="B935" s="1" t="s">
        <v>107</v>
      </c>
      <c r="C935" s="4">
        <v>47</v>
      </c>
      <c r="D935" s="8">
        <v>2.83</v>
      </c>
      <c r="E935" s="4">
        <v>4</v>
      </c>
      <c r="F935" s="8">
        <v>0.54</v>
      </c>
      <c r="G935" s="4">
        <v>43</v>
      </c>
      <c r="H935" s="8">
        <v>4.66</v>
      </c>
      <c r="I935" s="4">
        <v>0</v>
      </c>
    </row>
    <row r="936" spans="1:9" x14ac:dyDescent="0.2">
      <c r="A936" s="2">
        <v>13</v>
      </c>
      <c r="B936" s="1" t="s">
        <v>109</v>
      </c>
      <c r="C936" s="4">
        <v>43</v>
      </c>
      <c r="D936" s="8">
        <v>2.59</v>
      </c>
      <c r="E936" s="4">
        <v>20</v>
      </c>
      <c r="F936" s="8">
        <v>2.72</v>
      </c>
      <c r="G936" s="4">
        <v>23</v>
      </c>
      <c r="H936" s="8">
        <v>2.4900000000000002</v>
      </c>
      <c r="I936" s="4">
        <v>0</v>
      </c>
    </row>
    <row r="937" spans="1:9" x14ac:dyDescent="0.2">
      <c r="A937" s="2">
        <v>14</v>
      </c>
      <c r="B937" s="1" t="s">
        <v>105</v>
      </c>
      <c r="C937" s="4">
        <v>40</v>
      </c>
      <c r="D937" s="8">
        <v>2.41</v>
      </c>
      <c r="E937" s="4">
        <v>19</v>
      </c>
      <c r="F937" s="8">
        <v>2.59</v>
      </c>
      <c r="G937" s="4">
        <v>21</v>
      </c>
      <c r="H937" s="8">
        <v>2.2799999999999998</v>
      </c>
      <c r="I937" s="4">
        <v>0</v>
      </c>
    </row>
    <row r="938" spans="1:9" x14ac:dyDescent="0.2">
      <c r="A938" s="2">
        <v>15</v>
      </c>
      <c r="B938" s="1" t="s">
        <v>113</v>
      </c>
      <c r="C938" s="4">
        <v>31</v>
      </c>
      <c r="D938" s="8">
        <v>1.87</v>
      </c>
      <c r="E938" s="4">
        <v>16</v>
      </c>
      <c r="F938" s="8">
        <v>2.1800000000000002</v>
      </c>
      <c r="G938" s="4">
        <v>15</v>
      </c>
      <c r="H938" s="8">
        <v>1.63</v>
      </c>
      <c r="I938" s="4">
        <v>0</v>
      </c>
    </row>
    <row r="939" spans="1:9" x14ac:dyDescent="0.2">
      <c r="A939" s="2">
        <v>16</v>
      </c>
      <c r="B939" s="1" t="s">
        <v>110</v>
      </c>
      <c r="C939" s="4">
        <v>26</v>
      </c>
      <c r="D939" s="8">
        <v>1.57</v>
      </c>
      <c r="E939" s="4">
        <v>7</v>
      </c>
      <c r="F939" s="8">
        <v>0.95</v>
      </c>
      <c r="G939" s="4">
        <v>19</v>
      </c>
      <c r="H939" s="8">
        <v>2.06</v>
      </c>
      <c r="I939" s="4">
        <v>0</v>
      </c>
    </row>
    <row r="940" spans="1:9" x14ac:dyDescent="0.2">
      <c r="A940" s="2">
        <v>17</v>
      </c>
      <c r="B940" s="1" t="s">
        <v>119</v>
      </c>
      <c r="C940" s="4">
        <v>21</v>
      </c>
      <c r="D940" s="8">
        <v>1.26</v>
      </c>
      <c r="E940" s="4">
        <v>3</v>
      </c>
      <c r="F940" s="8">
        <v>0.41</v>
      </c>
      <c r="G940" s="4">
        <v>18</v>
      </c>
      <c r="H940" s="8">
        <v>1.95</v>
      </c>
      <c r="I940" s="4">
        <v>0</v>
      </c>
    </row>
    <row r="941" spans="1:9" x14ac:dyDescent="0.2">
      <c r="A941" s="2">
        <v>18</v>
      </c>
      <c r="B941" s="1" t="s">
        <v>116</v>
      </c>
      <c r="C941" s="4">
        <v>17</v>
      </c>
      <c r="D941" s="8">
        <v>1.02</v>
      </c>
      <c r="E941" s="4">
        <v>7</v>
      </c>
      <c r="F941" s="8">
        <v>0.95</v>
      </c>
      <c r="G941" s="4">
        <v>10</v>
      </c>
      <c r="H941" s="8">
        <v>1.08</v>
      </c>
      <c r="I941" s="4">
        <v>0</v>
      </c>
    </row>
    <row r="942" spans="1:9" x14ac:dyDescent="0.2">
      <c r="A942" s="2">
        <v>19</v>
      </c>
      <c r="B942" s="1" t="s">
        <v>102</v>
      </c>
      <c r="C942" s="4">
        <v>16</v>
      </c>
      <c r="D942" s="8">
        <v>0.96</v>
      </c>
      <c r="E942" s="4">
        <v>2</v>
      </c>
      <c r="F942" s="8">
        <v>0.27</v>
      </c>
      <c r="G942" s="4">
        <v>14</v>
      </c>
      <c r="H942" s="8">
        <v>1.52</v>
      </c>
      <c r="I942" s="4">
        <v>0</v>
      </c>
    </row>
    <row r="943" spans="1:9" x14ac:dyDescent="0.2">
      <c r="A943" s="2">
        <v>19</v>
      </c>
      <c r="B943" s="1" t="s">
        <v>117</v>
      </c>
      <c r="C943" s="4">
        <v>16</v>
      </c>
      <c r="D943" s="8">
        <v>0.96</v>
      </c>
      <c r="E943" s="4">
        <v>2</v>
      </c>
      <c r="F943" s="8">
        <v>0.27</v>
      </c>
      <c r="G943" s="4">
        <v>14</v>
      </c>
      <c r="H943" s="8">
        <v>1.52</v>
      </c>
      <c r="I943" s="4">
        <v>0</v>
      </c>
    </row>
    <row r="944" spans="1:9" x14ac:dyDescent="0.2">
      <c r="A944" s="1"/>
      <c r="C944" s="4"/>
      <c r="D944" s="8"/>
      <c r="E944" s="4"/>
      <c r="F944" s="8"/>
      <c r="G944" s="4"/>
      <c r="H944" s="8"/>
      <c r="I944" s="4"/>
    </row>
    <row r="945" spans="1:9" x14ac:dyDescent="0.2">
      <c r="A945" s="1" t="s">
        <v>42</v>
      </c>
      <c r="C945" s="4"/>
      <c r="D945" s="8"/>
      <c r="E945" s="4"/>
      <c r="F945" s="8"/>
      <c r="G945" s="4"/>
      <c r="H945" s="8"/>
      <c r="I945" s="4"/>
    </row>
    <row r="946" spans="1:9" x14ac:dyDescent="0.2">
      <c r="A946" s="2">
        <v>1</v>
      </c>
      <c r="B946" s="1" t="s">
        <v>108</v>
      </c>
      <c r="C946" s="4">
        <v>348</v>
      </c>
      <c r="D946" s="8">
        <v>11.28</v>
      </c>
      <c r="E946" s="4">
        <v>167</v>
      </c>
      <c r="F946" s="8">
        <v>13.65</v>
      </c>
      <c r="G946" s="4">
        <v>181</v>
      </c>
      <c r="H946" s="8">
        <v>9.81</v>
      </c>
      <c r="I946" s="4">
        <v>0</v>
      </c>
    </row>
    <row r="947" spans="1:9" x14ac:dyDescent="0.2">
      <c r="A947" s="2">
        <v>2</v>
      </c>
      <c r="B947" s="1" t="s">
        <v>98</v>
      </c>
      <c r="C947" s="4">
        <v>219</v>
      </c>
      <c r="D947" s="8">
        <v>7.1</v>
      </c>
      <c r="E947" s="4">
        <v>45</v>
      </c>
      <c r="F947" s="8">
        <v>3.68</v>
      </c>
      <c r="G947" s="4">
        <v>173</v>
      </c>
      <c r="H947" s="8">
        <v>9.3800000000000008</v>
      </c>
      <c r="I947" s="4">
        <v>1</v>
      </c>
    </row>
    <row r="948" spans="1:9" x14ac:dyDescent="0.2">
      <c r="A948" s="2">
        <v>3</v>
      </c>
      <c r="B948" s="1" t="s">
        <v>112</v>
      </c>
      <c r="C948" s="4">
        <v>192</v>
      </c>
      <c r="D948" s="8">
        <v>6.23</v>
      </c>
      <c r="E948" s="4">
        <v>162</v>
      </c>
      <c r="F948" s="8">
        <v>13.25</v>
      </c>
      <c r="G948" s="4">
        <v>30</v>
      </c>
      <c r="H948" s="8">
        <v>1.63</v>
      </c>
      <c r="I948" s="4">
        <v>0</v>
      </c>
    </row>
    <row r="949" spans="1:9" x14ac:dyDescent="0.2">
      <c r="A949" s="2">
        <v>4</v>
      </c>
      <c r="B949" s="1" t="s">
        <v>111</v>
      </c>
      <c r="C949" s="4">
        <v>189</v>
      </c>
      <c r="D949" s="8">
        <v>6.13</v>
      </c>
      <c r="E949" s="4">
        <v>161</v>
      </c>
      <c r="F949" s="8">
        <v>13.16</v>
      </c>
      <c r="G949" s="4">
        <v>28</v>
      </c>
      <c r="H949" s="8">
        <v>1.52</v>
      </c>
      <c r="I949" s="4">
        <v>0</v>
      </c>
    </row>
    <row r="950" spans="1:9" x14ac:dyDescent="0.2">
      <c r="A950" s="2">
        <v>5</v>
      </c>
      <c r="B950" s="1" t="s">
        <v>100</v>
      </c>
      <c r="C950" s="4">
        <v>173</v>
      </c>
      <c r="D950" s="8">
        <v>5.61</v>
      </c>
      <c r="E950" s="4">
        <v>51</v>
      </c>
      <c r="F950" s="8">
        <v>4.17</v>
      </c>
      <c r="G950" s="4">
        <v>122</v>
      </c>
      <c r="H950" s="8">
        <v>6.61</v>
      </c>
      <c r="I950" s="4">
        <v>0</v>
      </c>
    </row>
    <row r="951" spans="1:9" x14ac:dyDescent="0.2">
      <c r="A951" s="2">
        <v>6</v>
      </c>
      <c r="B951" s="1" t="s">
        <v>97</v>
      </c>
      <c r="C951" s="4">
        <v>163</v>
      </c>
      <c r="D951" s="8">
        <v>5.29</v>
      </c>
      <c r="E951" s="4">
        <v>24</v>
      </c>
      <c r="F951" s="8">
        <v>1.96</v>
      </c>
      <c r="G951" s="4">
        <v>139</v>
      </c>
      <c r="H951" s="8">
        <v>7.53</v>
      </c>
      <c r="I951" s="4">
        <v>0</v>
      </c>
    </row>
    <row r="952" spans="1:9" x14ac:dyDescent="0.2">
      <c r="A952" s="2">
        <v>7</v>
      </c>
      <c r="B952" s="1" t="s">
        <v>99</v>
      </c>
      <c r="C952" s="4">
        <v>136</v>
      </c>
      <c r="D952" s="8">
        <v>4.41</v>
      </c>
      <c r="E952" s="4">
        <v>20</v>
      </c>
      <c r="F952" s="8">
        <v>1.64</v>
      </c>
      <c r="G952" s="4">
        <v>116</v>
      </c>
      <c r="H952" s="8">
        <v>6.29</v>
      </c>
      <c r="I952" s="4">
        <v>0</v>
      </c>
    </row>
    <row r="953" spans="1:9" x14ac:dyDescent="0.2">
      <c r="A953" s="2">
        <v>8</v>
      </c>
      <c r="B953" s="1" t="s">
        <v>106</v>
      </c>
      <c r="C953" s="4">
        <v>109</v>
      </c>
      <c r="D953" s="8">
        <v>3.53</v>
      </c>
      <c r="E953" s="4">
        <v>40</v>
      </c>
      <c r="F953" s="8">
        <v>3.27</v>
      </c>
      <c r="G953" s="4">
        <v>69</v>
      </c>
      <c r="H953" s="8">
        <v>3.74</v>
      </c>
      <c r="I953" s="4">
        <v>0</v>
      </c>
    </row>
    <row r="954" spans="1:9" x14ac:dyDescent="0.2">
      <c r="A954" s="2">
        <v>9</v>
      </c>
      <c r="B954" s="1" t="s">
        <v>120</v>
      </c>
      <c r="C954" s="4">
        <v>96</v>
      </c>
      <c r="D954" s="8">
        <v>3.11</v>
      </c>
      <c r="E954" s="4">
        <v>17</v>
      </c>
      <c r="F954" s="8">
        <v>1.39</v>
      </c>
      <c r="G954" s="4">
        <v>79</v>
      </c>
      <c r="H954" s="8">
        <v>4.28</v>
      </c>
      <c r="I954" s="4">
        <v>0</v>
      </c>
    </row>
    <row r="955" spans="1:9" x14ac:dyDescent="0.2">
      <c r="A955" s="2">
        <v>10</v>
      </c>
      <c r="B955" s="1" t="s">
        <v>105</v>
      </c>
      <c r="C955" s="4">
        <v>80</v>
      </c>
      <c r="D955" s="8">
        <v>2.59</v>
      </c>
      <c r="E955" s="4">
        <v>35</v>
      </c>
      <c r="F955" s="8">
        <v>2.86</v>
      </c>
      <c r="G955" s="4">
        <v>45</v>
      </c>
      <c r="H955" s="8">
        <v>2.44</v>
      </c>
      <c r="I955" s="4">
        <v>0</v>
      </c>
    </row>
    <row r="956" spans="1:9" x14ac:dyDescent="0.2">
      <c r="A956" s="2">
        <v>11</v>
      </c>
      <c r="B956" s="1" t="s">
        <v>125</v>
      </c>
      <c r="C956" s="4">
        <v>75</v>
      </c>
      <c r="D956" s="8">
        <v>2.4300000000000002</v>
      </c>
      <c r="E956" s="4">
        <v>30</v>
      </c>
      <c r="F956" s="8">
        <v>2.4500000000000002</v>
      </c>
      <c r="G956" s="4">
        <v>45</v>
      </c>
      <c r="H956" s="8">
        <v>2.44</v>
      </c>
      <c r="I956" s="4">
        <v>0</v>
      </c>
    </row>
    <row r="957" spans="1:9" x14ac:dyDescent="0.2">
      <c r="A957" s="2">
        <v>12</v>
      </c>
      <c r="B957" s="1" t="s">
        <v>128</v>
      </c>
      <c r="C957" s="4">
        <v>71</v>
      </c>
      <c r="D957" s="8">
        <v>2.2999999999999998</v>
      </c>
      <c r="E957" s="4">
        <v>21</v>
      </c>
      <c r="F957" s="8">
        <v>1.72</v>
      </c>
      <c r="G957" s="4">
        <v>50</v>
      </c>
      <c r="H957" s="8">
        <v>2.71</v>
      </c>
      <c r="I957" s="4">
        <v>0</v>
      </c>
    </row>
    <row r="958" spans="1:9" x14ac:dyDescent="0.2">
      <c r="A958" s="2">
        <v>13</v>
      </c>
      <c r="B958" s="1" t="s">
        <v>115</v>
      </c>
      <c r="C958" s="4">
        <v>63</v>
      </c>
      <c r="D958" s="8">
        <v>2.04</v>
      </c>
      <c r="E958" s="4">
        <v>50</v>
      </c>
      <c r="F958" s="8">
        <v>4.09</v>
      </c>
      <c r="G958" s="4">
        <v>13</v>
      </c>
      <c r="H958" s="8">
        <v>0.7</v>
      </c>
      <c r="I958" s="4">
        <v>0</v>
      </c>
    </row>
    <row r="959" spans="1:9" x14ac:dyDescent="0.2">
      <c r="A959" s="2">
        <v>14</v>
      </c>
      <c r="B959" s="1" t="s">
        <v>104</v>
      </c>
      <c r="C959" s="4">
        <v>61</v>
      </c>
      <c r="D959" s="8">
        <v>1.98</v>
      </c>
      <c r="E959" s="4">
        <v>45</v>
      </c>
      <c r="F959" s="8">
        <v>3.68</v>
      </c>
      <c r="G959" s="4">
        <v>15</v>
      </c>
      <c r="H959" s="8">
        <v>0.81</v>
      </c>
      <c r="I959" s="4">
        <v>1</v>
      </c>
    </row>
    <row r="960" spans="1:9" x14ac:dyDescent="0.2">
      <c r="A960" s="2">
        <v>15</v>
      </c>
      <c r="B960" s="1" t="s">
        <v>117</v>
      </c>
      <c r="C960" s="4">
        <v>59</v>
      </c>
      <c r="D960" s="8">
        <v>1.91</v>
      </c>
      <c r="E960" s="4">
        <v>9</v>
      </c>
      <c r="F960" s="8">
        <v>0.74</v>
      </c>
      <c r="G960" s="4">
        <v>50</v>
      </c>
      <c r="H960" s="8">
        <v>2.71</v>
      </c>
      <c r="I960" s="4">
        <v>0</v>
      </c>
    </row>
    <row r="961" spans="1:9" x14ac:dyDescent="0.2">
      <c r="A961" s="2">
        <v>15</v>
      </c>
      <c r="B961" s="1" t="s">
        <v>109</v>
      </c>
      <c r="C961" s="4">
        <v>59</v>
      </c>
      <c r="D961" s="8">
        <v>1.91</v>
      </c>
      <c r="E961" s="4">
        <v>30</v>
      </c>
      <c r="F961" s="8">
        <v>2.4500000000000002</v>
      </c>
      <c r="G961" s="4">
        <v>29</v>
      </c>
      <c r="H961" s="8">
        <v>1.57</v>
      </c>
      <c r="I961" s="4">
        <v>0</v>
      </c>
    </row>
    <row r="962" spans="1:9" x14ac:dyDescent="0.2">
      <c r="A962" s="2">
        <v>17</v>
      </c>
      <c r="B962" s="1" t="s">
        <v>114</v>
      </c>
      <c r="C962" s="4">
        <v>56</v>
      </c>
      <c r="D962" s="8">
        <v>1.82</v>
      </c>
      <c r="E962" s="4">
        <v>39</v>
      </c>
      <c r="F962" s="8">
        <v>3.19</v>
      </c>
      <c r="G962" s="4">
        <v>17</v>
      </c>
      <c r="H962" s="8">
        <v>0.92</v>
      </c>
      <c r="I962" s="4">
        <v>0</v>
      </c>
    </row>
    <row r="963" spans="1:9" x14ac:dyDescent="0.2">
      <c r="A963" s="2">
        <v>18</v>
      </c>
      <c r="B963" s="1" t="s">
        <v>116</v>
      </c>
      <c r="C963" s="4">
        <v>53</v>
      </c>
      <c r="D963" s="8">
        <v>1.72</v>
      </c>
      <c r="E963" s="4">
        <v>35</v>
      </c>
      <c r="F963" s="8">
        <v>2.86</v>
      </c>
      <c r="G963" s="4">
        <v>18</v>
      </c>
      <c r="H963" s="8">
        <v>0.98</v>
      </c>
      <c r="I963" s="4">
        <v>0</v>
      </c>
    </row>
    <row r="964" spans="1:9" x14ac:dyDescent="0.2">
      <c r="A964" s="2">
        <v>19</v>
      </c>
      <c r="B964" s="1" t="s">
        <v>133</v>
      </c>
      <c r="C964" s="4">
        <v>52</v>
      </c>
      <c r="D964" s="8">
        <v>1.69</v>
      </c>
      <c r="E964" s="4">
        <v>39</v>
      </c>
      <c r="F964" s="8">
        <v>3.19</v>
      </c>
      <c r="G964" s="4">
        <v>13</v>
      </c>
      <c r="H964" s="8">
        <v>0.7</v>
      </c>
      <c r="I964" s="4">
        <v>0</v>
      </c>
    </row>
    <row r="965" spans="1:9" x14ac:dyDescent="0.2">
      <c r="A965" s="2">
        <v>20</v>
      </c>
      <c r="B965" s="1" t="s">
        <v>132</v>
      </c>
      <c r="C965" s="4">
        <v>49</v>
      </c>
      <c r="D965" s="8">
        <v>1.59</v>
      </c>
      <c r="E965" s="4">
        <v>25</v>
      </c>
      <c r="F965" s="8">
        <v>2.04</v>
      </c>
      <c r="G965" s="4">
        <v>24</v>
      </c>
      <c r="H965" s="8">
        <v>1.3</v>
      </c>
      <c r="I965" s="4">
        <v>0</v>
      </c>
    </row>
    <row r="966" spans="1:9" x14ac:dyDescent="0.2">
      <c r="A966" s="2">
        <v>20</v>
      </c>
      <c r="B966" s="1" t="s">
        <v>107</v>
      </c>
      <c r="C966" s="4">
        <v>49</v>
      </c>
      <c r="D966" s="8">
        <v>1.59</v>
      </c>
      <c r="E966" s="4">
        <v>4</v>
      </c>
      <c r="F966" s="8">
        <v>0.33</v>
      </c>
      <c r="G966" s="4">
        <v>45</v>
      </c>
      <c r="H966" s="8">
        <v>2.44</v>
      </c>
      <c r="I966" s="4">
        <v>0</v>
      </c>
    </row>
    <row r="967" spans="1:9" x14ac:dyDescent="0.2">
      <c r="A967" s="1"/>
      <c r="C967" s="4"/>
      <c r="D967" s="8"/>
      <c r="E967" s="4"/>
      <c r="F967" s="8"/>
      <c r="G967" s="4"/>
      <c r="H967" s="8"/>
      <c r="I967" s="4"/>
    </row>
    <row r="968" spans="1:9" x14ac:dyDescent="0.2">
      <c r="A968" s="1" t="s">
        <v>43</v>
      </c>
      <c r="C968" s="4"/>
      <c r="D968" s="8"/>
      <c r="E968" s="4"/>
      <c r="F968" s="8"/>
      <c r="G968" s="4"/>
      <c r="H968" s="8"/>
      <c r="I968" s="4"/>
    </row>
    <row r="969" spans="1:9" x14ac:dyDescent="0.2">
      <c r="A969" s="2">
        <v>1</v>
      </c>
      <c r="B969" s="1" t="s">
        <v>112</v>
      </c>
      <c r="C969" s="4">
        <v>107</v>
      </c>
      <c r="D969" s="8">
        <v>10.58</v>
      </c>
      <c r="E969" s="4">
        <v>87</v>
      </c>
      <c r="F969" s="8">
        <v>18.32</v>
      </c>
      <c r="G969" s="4">
        <v>20</v>
      </c>
      <c r="H969" s="8">
        <v>3.8</v>
      </c>
      <c r="I969" s="4">
        <v>0</v>
      </c>
    </row>
    <row r="970" spans="1:9" x14ac:dyDescent="0.2">
      <c r="A970" s="2">
        <v>2</v>
      </c>
      <c r="B970" s="1" t="s">
        <v>111</v>
      </c>
      <c r="C970" s="4">
        <v>78</v>
      </c>
      <c r="D970" s="8">
        <v>7.72</v>
      </c>
      <c r="E970" s="4">
        <v>65</v>
      </c>
      <c r="F970" s="8">
        <v>13.68</v>
      </c>
      <c r="G970" s="4">
        <v>13</v>
      </c>
      <c r="H970" s="8">
        <v>2.4700000000000002</v>
      </c>
      <c r="I970" s="4">
        <v>0</v>
      </c>
    </row>
    <row r="971" spans="1:9" x14ac:dyDescent="0.2">
      <c r="A971" s="2">
        <v>3</v>
      </c>
      <c r="B971" s="1" t="s">
        <v>98</v>
      </c>
      <c r="C971" s="4">
        <v>77</v>
      </c>
      <c r="D971" s="8">
        <v>7.62</v>
      </c>
      <c r="E971" s="4">
        <v>37</v>
      </c>
      <c r="F971" s="8">
        <v>7.79</v>
      </c>
      <c r="G971" s="4">
        <v>40</v>
      </c>
      <c r="H971" s="8">
        <v>7.6</v>
      </c>
      <c r="I971" s="4">
        <v>0</v>
      </c>
    </row>
    <row r="972" spans="1:9" x14ac:dyDescent="0.2">
      <c r="A972" s="2">
        <v>4</v>
      </c>
      <c r="B972" s="1" t="s">
        <v>108</v>
      </c>
      <c r="C972" s="4">
        <v>76</v>
      </c>
      <c r="D972" s="8">
        <v>7.52</v>
      </c>
      <c r="E972" s="4">
        <v>26</v>
      </c>
      <c r="F972" s="8">
        <v>5.47</v>
      </c>
      <c r="G972" s="4">
        <v>50</v>
      </c>
      <c r="H972" s="8">
        <v>9.51</v>
      </c>
      <c r="I972" s="4">
        <v>0</v>
      </c>
    </row>
    <row r="973" spans="1:9" x14ac:dyDescent="0.2">
      <c r="A973" s="2">
        <v>5</v>
      </c>
      <c r="B973" s="1" t="s">
        <v>97</v>
      </c>
      <c r="C973" s="4">
        <v>65</v>
      </c>
      <c r="D973" s="8">
        <v>6.43</v>
      </c>
      <c r="E973" s="4">
        <v>15</v>
      </c>
      <c r="F973" s="8">
        <v>3.16</v>
      </c>
      <c r="G973" s="4">
        <v>50</v>
      </c>
      <c r="H973" s="8">
        <v>9.51</v>
      </c>
      <c r="I973" s="4">
        <v>0</v>
      </c>
    </row>
    <row r="974" spans="1:9" x14ac:dyDescent="0.2">
      <c r="A974" s="2">
        <v>6</v>
      </c>
      <c r="B974" s="1" t="s">
        <v>106</v>
      </c>
      <c r="C974" s="4">
        <v>58</v>
      </c>
      <c r="D974" s="8">
        <v>5.74</v>
      </c>
      <c r="E974" s="4">
        <v>25</v>
      </c>
      <c r="F974" s="8">
        <v>5.26</v>
      </c>
      <c r="G974" s="4">
        <v>33</v>
      </c>
      <c r="H974" s="8">
        <v>6.27</v>
      </c>
      <c r="I974" s="4">
        <v>0</v>
      </c>
    </row>
    <row r="975" spans="1:9" x14ac:dyDescent="0.2">
      <c r="A975" s="2">
        <v>7</v>
      </c>
      <c r="B975" s="1" t="s">
        <v>114</v>
      </c>
      <c r="C975" s="4">
        <v>48</v>
      </c>
      <c r="D975" s="8">
        <v>4.75</v>
      </c>
      <c r="E975" s="4">
        <v>36</v>
      </c>
      <c r="F975" s="8">
        <v>7.58</v>
      </c>
      <c r="G975" s="4">
        <v>10</v>
      </c>
      <c r="H975" s="8">
        <v>1.9</v>
      </c>
      <c r="I975" s="4">
        <v>1</v>
      </c>
    </row>
    <row r="976" spans="1:9" x14ac:dyDescent="0.2">
      <c r="A976" s="2">
        <v>8</v>
      </c>
      <c r="B976" s="1" t="s">
        <v>115</v>
      </c>
      <c r="C976" s="4">
        <v>46</v>
      </c>
      <c r="D976" s="8">
        <v>4.55</v>
      </c>
      <c r="E976" s="4">
        <v>35</v>
      </c>
      <c r="F976" s="8">
        <v>7.37</v>
      </c>
      <c r="G976" s="4">
        <v>11</v>
      </c>
      <c r="H976" s="8">
        <v>2.09</v>
      </c>
      <c r="I976" s="4">
        <v>0</v>
      </c>
    </row>
    <row r="977" spans="1:9" x14ac:dyDescent="0.2">
      <c r="A977" s="2">
        <v>9</v>
      </c>
      <c r="B977" s="1" t="s">
        <v>99</v>
      </c>
      <c r="C977" s="4">
        <v>43</v>
      </c>
      <c r="D977" s="8">
        <v>4.25</v>
      </c>
      <c r="E977" s="4">
        <v>8</v>
      </c>
      <c r="F977" s="8">
        <v>1.68</v>
      </c>
      <c r="G977" s="4">
        <v>35</v>
      </c>
      <c r="H977" s="8">
        <v>6.65</v>
      </c>
      <c r="I977" s="4">
        <v>0</v>
      </c>
    </row>
    <row r="978" spans="1:9" x14ac:dyDescent="0.2">
      <c r="A978" s="2">
        <v>10</v>
      </c>
      <c r="B978" s="1" t="s">
        <v>104</v>
      </c>
      <c r="C978" s="4">
        <v>37</v>
      </c>
      <c r="D978" s="8">
        <v>3.66</v>
      </c>
      <c r="E978" s="4">
        <v>25</v>
      </c>
      <c r="F978" s="8">
        <v>5.26</v>
      </c>
      <c r="G978" s="4">
        <v>12</v>
      </c>
      <c r="H978" s="8">
        <v>2.2799999999999998</v>
      </c>
      <c r="I978" s="4">
        <v>0</v>
      </c>
    </row>
    <row r="979" spans="1:9" x14ac:dyDescent="0.2">
      <c r="A979" s="2">
        <v>11</v>
      </c>
      <c r="B979" s="1" t="s">
        <v>105</v>
      </c>
      <c r="C979" s="4">
        <v>35</v>
      </c>
      <c r="D979" s="8">
        <v>3.46</v>
      </c>
      <c r="E979" s="4">
        <v>11</v>
      </c>
      <c r="F979" s="8">
        <v>2.3199999999999998</v>
      </c>
      <c r="G979" s="4">
        <v>24</v>
      </c>
      <c r="H979" s="8">
        <v>4.5599999999999996</v>
      </c>
      <c r="I979" s="4">
        <v>0</v>
      </c>
    </row>
    <row r="980" spans="1:9" x14ac:dyDescent="0.2">
      <c r="A980" s="2">
        <v>12</v>
      </c>
      <c r="B980" s="1" t="s">
        <v>113</v>
      </c>
      <c r="C980" s="4">
        <v>26</v>
      </c>
      <c r="D980" s="8">
        <v>2.57</v>
      </c>
      <c r="E980" s="4">
        <v>11</v>
      </c>
      <c r="F980" s="8">
        <v>2.3199999999999998</v>
      </c>
      <c r="G980" s="4">
        <v>15</v>
      </c>
      <c r="H980" s="8">
        <v>2.85</v>
      </c>
      <c r="I980" s="4">
        <v>0</v>
      </c>
    </row>
    <row r="981" spans="1:9" x14ac:dyDescent="0.2">
      <c r="A981" s="2">
        <v>13</v>
      </c>
      <c r="B981" s="1" t="s">
        <v>109</v>
      </c>
      <c r="C981" s="4">
        <v>22</v>
      </c>
      <c r="D981" s="8">
        <v>2.1800000000000002</v>
      </c>
      <c r="E981" s="4">
        <v>19</v>
      </c>
      <c r="F981" s="8">
        <v>4</v>
      </c>
      <c r="G981" s="4">
        <v>3</v>
      </c>
      <c r="H981" s="8">
        <v>0.56999999999999995</v>
      </c>
      <c r="I981" s="4">
        <v>0</v>
      </c>
    </row>
    <row r="982" spans="1:9" x14ac:dyDescent="0.2">
      <c r="A982" s="2">
        <v>13</v>
      </c>
      <c r="B982" s="1" t="s">
        <v>116</v>
      </c>
      <c r="C982" s="4">
        <v>22</v>
      </c>
      <c r="D982" s="8">
        <v>2.1800000000000002</v>
      </c>
      <c r="E982" s="4">
        <v>13</v>
      </c>
      <c r="F982" s="8">
        <v>2.74</v>
      </c>
      <c r="G982" s="4">
        <v>9</v>
      </c>
      <c r="H982" s="8">
        <v>1.71</v>
      </c>
      <c r="I982" s="4">
        <v>0</v>
      </c>
    </row>
    <row r="983" spans="1:9" x14ac:dyDescent="0.2">
      <c r="A983" s="2">
        <v>15</v>
      </c>
      <c r="B983" s="1" t="s">
        <v>103</v>
      </c>
      <c r="C983" s="4">
        <v>19</v>
      </c>
      <c r="D983" s="8">
        <v>1.88</v>
      </c>
      <c r="E983" s="4">
        <v>10</v>
      </c>
      <c r="F983" s="8">
        <v>2.11</v>
      </c>
      <c r="G983" s="4">
        <v>9</v>
      </c>
      <c r="H983" s="8">
        <v>1.71</v>
      </c>
      <c r="I983" s="4">
        <v>0</v>
      </c>
    </row>
    <row r="984" spans="1:9" x14ac:dyDescent="0.2">
      <c r="A984" s="2">
        <v>15</v>
      </c>
      <c r="B984" s="1" t="s">
        <v>110</v>
      </c>
      <c r="C984" s="4">
        <v>19</v>
      </c>
      <c r="D984" s="8">
        <v>1.88</v>
      </c>
      <c r="E984" s="4">
        <v>10</v>
      </c>
      <c r="F984" s="8">
        <v>2.11</v>
      </c>
      <c r="G984" s="4">
        <v>9</v>
      </c>
      <c r="H984" s="8">
        <v>1.71</v>
      </c>
      <c r="I984" s="4">
        <v>0</v>
      </c>
    </row>
    <row r="985" spans="1:9" x14ac:dyDescent="0.2">
      <c r="A985" s="2">
        <v>17</v>
      </c>
      <c r="B985" s="1" t="s">
        <v>120</v>
      </c>
      <c r="C985" s="4">
        <v>15</v>
      </c>
      <c r="D985" s="8">
        <v>1.48</v>
      </c>
      <c r="E985" s="4">
        <v>6</v>
      </c>
      <c r="F985" s="8">
        <v>1.26</v>
      </c>
      <c r="G985" s="4">
        <v>9</v>
      </c>
      <c r="H985" s="8">
        <v>1.71</v>
      </c>
      <c r="I985" s="4">
        <v>0</v>
      </c>
    </row>
    <row r="986" spans="1:9" x14ac:dyDescent="0.2">
      <c r="A986" s="2">
        <v>18</v>
      </c>
      <c r="B986" s="1" t="s">
        <v>100</v>
      </c>
      <c r="C986" s="4">
        <v>14</v>
      </c>
      <c r="D986" s="8">
        <v>1.38</v>
      </c>
      <c r="E986" s="4">
        <v>6</v>
      </c>
      <c r="F986" s="8">
        <v>1.26</v>
      </c>
      <c r="G986" s="4">
        <v>8</v>
      </c>
      <c r="H986" s="8">
        <v>1.52</v>
      </c>
      <c r="I986" s="4">
        <v>0</v>
      </c>
    </row>
    <row r="987" spans="1:9" x14ac:dyDescent="0.2">
      <c r="A987" s="2">
        <v>19</v>
      </c>
      <c r="B987" s="1" t="s">
        <v>101</v>
      </c>
      <c r="C987" s="4">
        <v>12</v>
      </c>
      <c r="D987" s="8">
        <v>1.19</v>
      </c>
      <c r="E987" s="4">
        <v>0</v>
      </c>
      <c r="F987" s="8">
        <v>0</v>
      </c>
      <c r="G987" s="4">
        <v>12</v>
      </c>
      <c r="H987" s="8">
        <v>2.2799999999999998</v>
      </c>
      <c r="I987" s="4">
        <v>0</v>
      </c>
    </row>
    <row r="988" spans="1:9" x14ac:dyDescent="0.2">
      <c r="A988" s="2">
        <v>19</v>
      </c>
      <c r="B988" s="1" t="s">
        <v>102</v>
      </c>
      <c r="C988" s="4">
        <v>12</v>
      </c>
      <c r="D988" s="8">
        <v>1.19</v>
      </c>
      <c r="E988" s="4">
        <v>1</v>
      </c>
      <c r="F988" s="8">
        <v>0.21</v>
      </c>
      <c r="G988" s="4">
        <v>11</v>
      </c>
      <c r="H988" s="8">
        <v>2.09</v>
      </c>
      <c r="I988" s="4">
        <v>0</v>
      </c>
    </row>
    <row r="989" spans="1:9" x14ac:dyDescent="0.2">
      <c r="A989" s="2">
        <v>19</v>
      </c>
      <c r="B989" s="1" t="s">
        <v>122</v>
      </c>
      <c r="C989" s="4">
        <v>12</v>
      </c>
      <c r="D989" s="8">
        <v>1.19</v>
      </c>
      <c r="E989" s="4">
        <v>0</v>
      </c>
      <c r="F989" s="8">
        <v>0</v>
      </c>
      <c r="G989" s="4">
        <v>12</v>
      </c>
      <c r="H989" s="8">
        <v>2.2799999999999998</v>
      </c>
      <c r="I989" s="4">
        <v>0</v>
      </c>
    </row>
    <row r="990" spans="1:9" x14ac:dyDescent="0.2">
      <c r="A990" s="1"/>
      <c r="C990" s="4"/>
      <c r="D990" s="8"/>
      <c r="E990" s="4"/>
      <c r="F990" s="8"/>
      <c r="G990" s="4"/>
      <c r="H990" s="8"/>
      <c r="I990" s="4"/>
    </row>
    <row r="991" spans="1:9" x14ac:dyDescent="0.2">
      <c r="A991" s="1" t="s">
        <v>44</v>
      </c>
      <c r="C991" s="4"/>
      <c r="D991" s="8"/>
      <c r="E991" s="4"/>
      <c r="F991" s="8"/>
      <c r="G991" s="4"/>
      <c r="H991" s="8"/>
      <c r="I991" s="4"/>
    </row>
    <row r="992" spans="1:9" x14ac:dyDescent="0.2">
      <c r="A992" s="2">
        <v>1</v>
      </c>
      <c r="B992" s="1" t="s">
        <v>112</v>
      </c>
      <c r="C992" s="4">
        <v>192</v>
      </c>
      <c r="D992" s="8">
        <v>12.37</v>
      </c>
      <c r="E992" s="4">
        <v>171</v>
      </c>
      <c r="F992" s="8">
        <v>23.36</v>
      </c>
      <c r="G992" s="4">
        <v>21</v>
      </c>
      <c r="H992" s="8">
        <v>2.6</v>
      </c>
      <c r="I992" s="4">
        <v>0</v>
      </c>
    </row>
    <row r="993" spans="1:9" x14ac:dyDescent="0.2">
      <c r="A993" s="2">
        <v>2</v>
      </c>
      <c r="B993" s="1" t="s">
        <v>111</v>
      </c>
      <c r="C993" s="4">
        <v>190</v>
      </c>
      <c r="D993" s="8">
        <v>12.24</v>
      </c>
      <c r="E993" s="4">
        <v>155</v>
      </c>
      <c r="F993" s="8">
        <v>21.17</v>
      </c>
      <c r="G993" s="4">
        <v>35</v>
      </c>
      <c r="H993" s="8">
        <v>4.33</v>
      </c>
      <c r="I993" s="4">
        <v>0</v>
      </c>
    </row>
    <row r="994" spans="1:9" x14ac:dyDescent="0.2">
      <c r="A994" s="2">
        <v>3</v>
      </c>
      <c r="B994" s="1" t="s">
        <v>106</v>
      </c>
      <c r="C994" s="4">
        <v>108</v>
      </c>
      <c r="D994" s="8">
        <v>6.96</v>
      </c>
      <c r="E994" s="4">
        <v>44</v>
      </c>
      <c r="F994" s="8">
        <v>6.01</v>
      </c>
      <c r="G994" s="4">
        <v>64</v>
      </c>
      <c r="H994" s="8">
        <v>7.91</v>
      </c>
      <c r="I994" s="4">
        <v>0</v>
      </c>
    </row>
    <row r="995" spans="1:9" x14ac:dyDescent="0.2">
      <c r="A995" s="2">
        <v>4</v>
      </c>
      <c r="B995" s="1" t="s">
        <v>98</v>
      </c>
      <c r="C995" s="4">
        <v>93</v>
      </c>
      <c r="D995" s="8">
        <v>5.99</v>
      </c>
      <c r="E995" s="4">
        <v>32</v>
      </c>
      <c r="F995" s="8">
        <v>4.37</v>
      </c>
      <c r="G995" s="4">
        <v>61</v>
      </c>
      <c r="H995" s="8">
        <v>7.54</v>
      </c>
      <c r="I995" s="4">
        <v>0</v>
      </c>
    </row>
    <row r="996" spans="1:9" x14ac:dyDescent="0.2">
      <c r="A996" s="2">
        <v>4</v>
      </c>
      <c r="B996" s="1" t="s">
        <v>108</v>
      </c>
      <c r="C996" s="4">
        <v>93</v>
      </c>
      <c r="D996" s="8">
        <v>5.99</v>
      </c>
      <c r="E996" s="4">
        <v>18</v>
      </c>
      <c r="F996" s="8">
        <v>2.46</v>
      </c>
      <c r="G996" s="4">
        <v>75</v>
      </c>
      <c r="H996" s="8">
        <v>9.27</v>
      </c>
      <c r="I996" s="4">
        <v>0</v>
      </c>
    </row>
    <row r="997" spans="1:9" x14ac:dyDescent="0.2">
      <c r="A997" s="2">
        <v>6</v>
      </c>
      <c r="B997" s="1" t="s">
        <v>97</v>
      </c>
      <c r="C997" s="4">
        <v>89</v>
      </c>
      <c r="D997" s="8">
        <v>5.73</v>
      </c>
      <c r="E997" s="4">
        <v>13</v>
      </c>
      <c r="F997" s="8">
        <v>1.78</v>
      </c>
      <c r="G997" s="4">
        <v>76</v>
      </c>
      <c r="H997" s="8">
        <v>9.39</v>
      </c>
      <c r="I997" s="4">
        <v>0</v>
      </c>
    </row>
    <row r="998" spans="1:9" x14ac:dyDescent="0.2">
      <c r="A998" s="2">
        <v>7</v>
      </c>
      <c r="B998" s="1" t="s">
        <v>115</v>
      </c>
      <c r="C998" s="4">
        <v>82</v>
      </c>
      <c r="D998" s="8">
        <v>5.28</v>
      </c>
      <c r="E998" s="4">
        <v>70</v>
      </c>
      <c r="F998" s="8">
        <v>9.56</v>
      </c>
      <c r="G998" s="4">
        <v>12</v>
      </c>
      <c r="H998" s="8">
        <v>1.48</v>
      </c>
      <c r="I998" s="4">
        <v>0</v>
      </c>
    </row>
    <row r="999" spans="1:9" x14ac:dyDescent="0.2">
      <c r="A999" s="2">
        <v>8</v>
      </c>
      <c r="B999" s="1" t="s">
        <v>99</v>
      </c>
      <c r="C999" s="4">
        <v>77</v>
      </c>
      <c r="D999" s="8">
        <v>4.96</v>
      </c>
      <c r="E999" s="4">
        <v>9</v>
      </c>
      <c r="F999" s="8">
        <v>1.23</v>
      </c>
      <c r="G999" s="4">
        <v>68</v>
      </c>
      <c r="H999" s="8">
        <v>8.41</v>
      </c>
      <c r="I999" s="4">
        <v>0</v>
      </c>
    </row>
    <row r="1000" spans="1:9" x14ac:dyDescent="0.2">
      <c r="A1000" s="2">
        <v>9</v>
      </c>
      <c r="B1000" s="1" t="s">
        <v>104</v>
      </c>
      <c r="C1000" s="4">
        <v>62</v>
      </c>
      <c r="D1000" s="8">
        <v>3.99</v>
      </c>
      <c r="E1000" s="4">
        <v>42</v>
      </c>
      <c r="F1000" s="8">
        <v>5.74</v>
      </c>
      <c r="G1000" s="4">
        <v>20</v>
      </c>
      <c r="H1000" s="8">
        <v>2.4700000000000002</v>
      </c>
      <c r="I1000" s="4">
        <v>0</v>
      </c>
    </row>
    <row r="1001" spans="1:9" x14ac:dyDescent="0.2">
      <c r="A1001" s="2">
        <v>10</v>
      </c>
      <c r="B1001" s="1" t="s">
        <v>114</v>
      </c>
      <c r="C1001" s="4">
        <v>61</v>
      </c>
      <c r="D1001" s="8">
        <v>3.93</v>
      </c>
      <c r="E1001" s="4">
        <v>36</v>
      </c>
      <c r="F1001" s="8">
        <v>4.92</v>
      </c>
      <c r="G1001" s="4">
        <v>18</v>
      </c>
      <c r="H1001" s="8">
        <v>2.2200000000000002</v>
      </c>
      <c r="I1001" s="4">
        <v>0</v>
      </c>
    </row>
    <row r="1002" spans="1:9" x14ac:dyDescent="0.2">
      <c r="A1002" s="2">
        <v>11</v>
      </c>
      <c r="B1002" s="1" t="s">
        <v>105</v>
      </c>
      <c r="C1002" s="4">
        <v>44</v>
      </c>
      <c r="D1002" s="8">
        <v>2.84</v>
      </c>
      <c r="E1002" s="4">
        <v>19</v>
      </c>
      <c r="F1002" s="8">
        <v>2.6</v>
      </c>
      <c r="G1002" s="4">
        <v>25</v>
      </c>
      <c r="H1002" s="8">
        <v>3.09</v>
      </c>
      <c r="I1002" s="4">
        <v>0</v>
      </c>
    </row>
    <row r="1003" spans="1:9" x14ac:dyDescent="0.2">
      <c r="A1003" s="2">
        <v>12</v>
      </c>
      <c r="B1003" s="1" t="s">
        <v>109</v>
      </c>
      <c r="C1003" s="4">
        <v>40</v>
      </c>
      <c r="D1003" s="8">
        <v>2.58</v>
      </c>
      <c r="E1003" s="4">
        <v>25</v>
      </c>
      <c r="F1003" s="8">
        <v>3.42</v>
      </c>
      <c r="G1003" s="4">
        <v>15</v>
      </c>
      <c r="H1003" s="8">
        <v>1.85</v>
      </c>
      <c r="I1003" s="4">
        <v>0</v>
      </c>
    </row>
    <row r="1004" spans="1:9" x14ac:dyDescent="0.2">
      <c r="A1004" s="2">
        <v>13</v>
      </c>
      <c r="B1004" s="1" t="s">
        <v>107</v>
      </c>
      <c r="C1004" s="4">
        <v>39</v>
      </c>
      <c r="D1004" s="8">
        <v>2.5099999999999998</v>
      </c>
      <c r="E1004" s="4">
        <v>3</v>
      </c>
      <c r="F1004" s="8">
        <v>0.41</v>
      </c>
      <c r="G1004" s="4">
        <v>36</v>
      </c>
      <c r="H1004" s="8">
        <v>4.45</v>
      </c>
      <c r="I1004" s="4">
        <v>0</v>
      </c>
    </row>
    <row r="1005" spans="1:9" x14ac:dyDescent="0.2">
      <c r="A1005" s="2">
        <v>14</v>
      </c>
      <c r="B1005" s="1" t="s">
        <v>110</v>
      </c>
      <c r="C1005" s="4">
        <v>36</v>
      </c>
      <c r="D1005" s="8">
        <v>2.3199999999999998</v>
      </c>
      <c r="E1005" s="4">
        <v>11</v>
      </c>
      <c r="F1005" s="8">
        <v>1.5</v>
      </c>
      <c r="G1005" s="4">
        <v>25</v>
      </c>
      <c r="H1005" s="8">
        <v>3.09</v>
      </c>
      <c r="I1005" s="4">
        <v>0</v>
      </c>
    </row>
    <row r="1006" spans="1:9" x14ac:dyDescent="0.2">
      <c r="A1006" s="2">
        <v>15</v>
      </c>
      <c r="B1006" s="1" t="s">
        <v>113</v>
      </c>
      <c r="C1006" s="4">
        <v>29</v>
      </c>
      <c r="D1006" s="8">
        <v>1.87</v>
      </c>
      <c r="E1006" s="4">
        <v>17</v>
      </c>
      <c r="F1006" s="8">
        <v>2.3199999999999998</v>
      </c>
      <c r="G1006" s="4">
        <v>12</v>
      </c>
      <c r="H1006" s="8">
        <v>1.48</v>
      </c>
      <c r="I1006" s="4">
        <v>0</v>
      </c>
    </row>
    <row r="1007" spans="1:9" x14ac:dyDescent="0.2">
      <c r="A1007" s="2">
        <v>16</v>
      </c>
      <c r="B1007" s="1" t="s">
        <v>103</v>
      </c>
      <c r="C1007" s="4">
        <v>20</v>
      </c>
      <c r="D1007" s="8">
        <v>1.29</v>
      </c>
      <c r="E1007" s="4">
        <v>10</v>
      </c>
      <c r="F1007" s="8">
        <v>1.37</v>
      </c>
      <c r="G1007" s="4">
        <v>10</v>
      </c>
      <c r="H1007" s="8">
        <v>1.24</v>
      </c>
      <c r="I1007" s="4">
        <v>0</v>
      </c>
    </row>
    <row r="1008" spans="1:9" x14ac:dyDescent="0.2">
      <c r="A1008" s="2">
        <v>17</v>
      </c>
      <c r="B1008" s="1" t="s">
        <v>100</v>
      </c>
      <c r="C1008" s="4">
        <v>18</v>
      </c>
      <c r="D1008" s="8">
        <v>1.1599999999999999</v>
      </c>
      <c r="E1008" s="4">
        <v>5</v>
      </c>
      <c r="F1008" s="8">
        <v>0.68</v>
      </c>
      <c r="G1008" s="4">
        <v>13</v>
      </c>
      <c r="H1008" s="8">
        <v>1.61</v>
      </c>
      <c r="I1008" s="4">
        <v>0</v>
      </c>
    </row>
    <row r="1009" spans="1:9" x14ac:dyDescent="0.2">
      <c r="A1009" s="2">
        <v>17</v>
      </c>
      <c r="B1009" s="1" t="s">
        <v>118</v>
      </c>
      <c r="C1009" s="4">
        <v>18</v>
      </c>
      <c r="D1009" s="8">
        <v>1.1599999999999999</v>
      </c>
      <c r="E1009" s="4">
        <v>0</v>
      </c>
      <c r="F1009" s="8">
        <v>0</v>
      </c>
      <c r="G1009" s="4">
        <v>18</v>
      </c>
      <c r="H1009" s="8">
        <v>2.2200000000000002</v>
      </c>
      <c r="I1009" s="4">
        <v>0</v>
      </c>
    </row>
    <row r="1010" spans="1:9" x14ac:dyDescent="0.2">
      <c r="A1010" s="2">
        <v>19</v>
      </c>
      <c r="B1010" s="1" t="s">
        <v>117</v>
      </c>
      <c r="C1010" s="4">
        <v>15</v>
      </c>
      <c r="D1010" s="8">
        <v>0.97</v>
      </c>
      <c r="E1010" s="4">
        <v>1</v>
      </c>
      <c r="F1010" s="8">
        <v>0.14000000000000001</v>
      </c>
      <c r="G1010" s="4">
        <v>14</v>
      </c>
      <c r="H1010" s="8">
        <v>1.73</v>
      </c>
      <c r="I1010" s="4">
        <v>0</v>
      </c>
    </row>
    <row r="1011" spans="1:9" x14ac:dyDescent="0.2">
      <c r="A1011" s="2">
        <v>20</v>
      </c>
      <c r="B1011" s="1" t="s">
        <v>101</v>
      </c>
      <c r="C1011" s="4">
        <v>14</v>
      </c>
      <c r="D1011" s="8">
        <v>0.9</v>
      </c>
      <c r="E1011" s="4">
        <v>1</v>
      </c>
      <c r="F1011" s="8">
        <v>0.14000000000000001</v>
      </c>
      <c r="G1011" s="4">
        <v>13</v>
      </c>
      <c r="H1011" s="8">
        <v>1.61</v>
      </c>
      <c r="I1011" s="4">
        <v>0</v>
      </c>
    </row>
    <row r="1012" spans="1:9" x14ac:dyDescent="0.2">
      <c r="A1012" s="2">
        <v>20</v>
      </c>
      <c r="B1012" s="1" t="s">
        <v>134</v>
      </c>
      <c r="C1012" s="4">
        <v>14</v>
      </c>
      <c r="D1012" s="8">
        <v>0.9</v>
      </c>
      <c r="E1012" s="4">
        <v>2</v>
      </c>
      <c r="F1012" s="8">
        <v>0.27</v>
      </c>
      <c r="G1012" s="4">
        <v>12</v>
      </c>
      <c r="H1012" s="8">
        <v>1.48</v>
      </c>
      <c r="I1012" s="4">
        <v>0</v>
      </c>
    </row>
    <row r="1013" spans="1:9" x14ac:dyDescent="0.2">
      <c r="A1013" s="2">
        <v>20</v>
      </c>
      <c r="B1013" s="1" t="s">
        <v>116</v>
      </c>
      <c r="C1013" s="4">
        <v>14</v>
      </c>
      <c r="D1013" s="8">
        <v>0.9</v>
      </c>
      <c r="E1013" s="4">
        <v>11</v>
      </c>
      <c r="F1013" s="8">
        <v>1.5</v>
      </c>
      <c r="G1013" s="4">
        <v>3</v>
      </c>
      <c r="H1013" s="8">
        <v>0.37</v>
      </c>
      <c r="I1013" s="4">
        <v>0</v>
      </c>
    </row>
    <row r="1014" spans="1:9" x14ac:dyDescent="0.2">
      <c r="A1014" s="1"/>
      <c r="C1014" s="4"/>
      <c r="D1014" s="8"/>
      <c r="E1014" s="4"/>
      <c r="F1014" s="8"/>
      <c r="G1014" s="4"/>
      <c r="H1014" s="8"/>
      <c r="I1014" s="4"/>
    </row>
    <row r="1015" spans="1:9" x14ac:dyDescent="0.2">
      <c r="A1015" s="1" t="s">
        <v>45</v>
      </c>
      <c r="C1015" s="4"/>
      <c r="D1015" s="8"/>
      <c r="E1015" s="4"/>
      <c r="F1015" s="8"/>
      <c r="G1015" s="4"/>
      <c r="H1015" s="8"/>
      <c r="I1015" s="4"/>
    </row>
    <row r="1016" spans="1:9" x14ac:dyDescent="0.2">
      <c r="A1016" s="2">
        <v>1</v>
      </c>
      <c r="B1016" s="1" t="s">
        <v>108</v>
      </c>
      <c r="C1016" s="4">
        <v>155</v>
      </c>
      <c r="D1016" s="8">
        <v>12.97</v>
      </c>
      <c r="E1016" s="4">
        <v>134</v>
      </c>
      <c r="F1016" s="8">
        <v>17.940000000000001</v>
      </c>
      <c r="G1016" s="4">
        <v>21</v>
      </c>
      <c r="H1016" s="8">
        <v>4.84</v>
      </c>
      <c r="I1016" s="4">
        <v>0</v>
      </c>
    </row>
    <row r="1017" spans="1:9" x14ac:dyDescent="0.2">
      <c r="A1017" s="2">
        <v>2</v>
      </c>
      <c r="B1017" s="1" t="s">
        <v>111</v>
      </c>
      <c r="C1017" s="4">
        <v>112</v>
      </c>
      <c r="D1017" s="8">
        <v>9.3699999999999992</v>
      </c>
      <c r="E1017" s="4">
        <v>104</v>
      </c>
      <c r="F1017" s="8">
        <v>13.92</v>
      </c>
      <c r="G1017" s="4">
        <v>8</v>
      </c>
      <c r="H1017" s="8">
        <v>1.84</v>
      </c>
      <c r="I1017" s="4">
        <v>0</v>
      </c>
    </row>
    <row r="1018" spans="1:9" x14ac:dyDescent="0.2">
      <c r="A1018" s="2">
        <v>3</v>
      </c>
      <c r="B1018" s="1" t="s">
        <v>112</v>
      </c>
      <c r="C1018" s="4">
        <v>110</v>
      </c>
      <c r="D1018" s="8">
        <v>9.2100000000000009</v>
      </c>
      <c r="E1018" s="4">
        <v>99</v>
      </c>
      <c r="F1018" s="8">
        <v>13.25</v>
      </c>
      <c r="G1018" s="4">
        <v>11</v>
      </c>
      <c r="H1018" s="8">
        <v>2.5299999999999998</v>
      </c>
      <c r="I1018" s="4">
        <v>0</v>
      </c>
    </row>
    <row r="1019" spans="1:9" x14ac:dyDescent="0.2">
      <c r="A1019" s="2">
        <v>4</v>
      </c>
      <c r="B1019" s="1" t="s">
        <v>106</v>
      </c>
      <c r="C1019" s="4">
        <v>77</v>
      </c>
      <c r="D1019" s="8">
        <v>6.44</v>
      </c>
      <c r="E1019" s="4">
        <v>42</v>
      </c>
      <c r="F1019" s="8">
        <v>5.62</v>
      </c>
      <c r="G1019" s="4">
        <v>35</v>
      </c>
      <c r="H1019" s="8">
        <v>8.06</v>
      </c>
      <c r="I1019" s="4">
        <v>0</v>
      </c>
    </row>
    <row r="1020" spans="1:9" x14ac:dyDescent="0.2">
      <c r="A1020" s="2">
        <v>5</v>
      </c>
      <c r="B1020" s="1" t="s">
        <v>98</v>
      </c>
      <c r="C1020" s="4">
        <v>76</v>
      </c>
      <c r="D1020" s="8">
        <v>6.36</v>
      </c>
      <c r="E1020" s="4">
        <v>36</v>
      </c>
      <c r="F1020" s="8">
        <v>4.82</v>
      </c>
      <c r="G1020" s="4">
        <v>40</v>
      </c>
      <c r="H1020" s="8">
        <v>9.2200000000000006</v>
      </c>
      <c r="I1020" s="4">
        <v>0</v>
      </c>
    </row>
    <row r="1021" spans="1:9" x14ac:dyDescent="0.2">
      <c r="A1021" s="2">
        <v>6</v>
      </c>
      <c r="B1021" s="1" t="s">
        <v>97</v>
      </c>
      <c r="C1021" s="4">
        <v>68</v>
      </c>
      <c r="D1021" s="8">
        <v>5.69</v>
      </c>
      <c r="E1021" s="4">
        <v>30</v>
      </c>
      <c r="F1021" s="8">
        <v>4.0199999999999996</v>
      </c>
      <c r="G1021" s="4">
        <v>38</v>
      </c>
      <c r="H1021" s="8">
        <v>8.76</v>
      </c>
      <c r="I1021" s="4">
        <v>0</v>
      </c>
    </row>
    <row r="1022" spans="1:9" x14ac:dyDescent="0.2">
      <c r="A1022" s="2">
        <v>7</v>
      </c>
      <c r="B1022" s="1" t="s">
        <v>114</v>
      </c>
      <c r="C1022" s="4">
        <v>56</v>
      </c>
      <c r="D1022" s="8">
        <v>4.6900000000000004</v>
      </c>
      <c r="E1022" s="4">
        <v>42</v>
      </c>
      <c r="F1022" s="8">
        <v>5.62</v>
      </c>
      <c r="G1022" s="4">
        <v>8</v>
      </c>
      <c r="H1022" s="8">
        <v>1.84</v>
      </c>
      <c r="I1022" s="4">
        <v>0</v>
      </c>
    </row>
    <row r="1023" spans="1:9" x14ac:dyDescent="0.2">
      <c r="A1023" s="2">
        <v>8</v>
      </c>
      <c r="B1023" s="1" t="s">
        <v>104</v>
      </c>
      <c r="C1023" s="4">
        <v>50</v>
      </c>
      <c r="D1023" s="8">
        <v>4.18</v>
      </c>
      <c r="E1023" s="4">
        <v>40</v>
      </c>
      <c r="F1023" s="8">
        <v>5.35</v>
      </c>
      <c r="G1023" s="4">
        <v>10</v>
      </c>
      <c r="H1023" s="8">
        <v>2.2999999999999998</v>
      </c>
      <c r="I1023" s="4">
        <v>0</v>
      </c>
    </row>
    <row r="1024" spans="1:9" x14ac:dyDescent="0.2">
      <c r="A1024" s="2">
        <v>9</v>
      </c>
      <c r="B1024" s="1" t="s">
        <v>99</v>
      </c>
      <c r="C1024" s="4">
        <v>40</v>
      </c>
      <c r="D1024" s="8">
        <v>3.35</v>
      </c>
      <c r="E1024" s="4">
        <v>12</v>
      </c>
      <c r="F1024" s="8">
        <v>1.61</v>
      </c>
      <c r="G1024" s="4">
        <v>28</v>
      </c>
      <c r="H1024" s="8">
        <v>6.45</v>
      </c>
      <c r="I1024" s="4">
        <v>0</v>
      </c>
    </row>
    <row r="1025" spans="1:9" x14ac:dyDescent="0.2">
      <c r="A1025" s="2">
        <v>9</v>
      </c>
      <c r="B1025" s="1" t="s">
        <v>105</v>
      </c>
      <c r="C1025" s="4">
        <v>40</v>
      </c>
      <c r="D1025" s="8">
        <v>3.35</v>
      </c>
      <c r="E1025" s="4">
        <v>25</v>
      </c>
      <c r="F1025" s="8">
        <v>3.35</v>
      </c>
      <c r="G1025" s="4">
        <v>15</v>
      </c>
      <c r="H1025" s="8">
        <v>3.46</v>
      </c>
      <c r="I1025" s="4">
        <v>0</v>
      </c>
    </row>
    <row r="1026" spans="1:9" x14ac:dyDescent="0.2">
      <c r="A1026" s="2">
        <v>11</v>
      </c>
      <c r="B1026" s="1" t="s">
        <v>115</v>
      </c>
      <c r="C1026" s="4">
        <v>38</v>
      </c>
      <c r="D1026" s="8">
        <v>3.18</v>
      </c>
      <c r="E1026" s="4">
        <v>34</v>
      </c>
      <c r="F1026" s="8">
        <v>4.55</v>
      </c>
      <c r="G1026" s="4">
        <v>4</v>
      </c>
      <c r="H1026" s="8">
        <v>0.92</v>
      </c>
      <c r="I1026" s="4">
        <v>0</v>
      </c>
    </row>
    <row r="1027" spans="1:9" x14ac:dyDescent="0.2">
      <c r="A1027" s="2">
        <v>12</v>
      </c>
      <c r="B1027" s="1" t="s">
        <v>116</v>
      </c>
      <c r="C1027" s="4">
        <v>35</v>
      </c>
      <c r="D1027" s="8">
        <v>2.93</v>
      </c>
      <c r="E1027" s="4">
        <v>27</v>
      </c>
      <c r="F1027" s="8">
        <v>3.61</v>
      </c>
      <c r="G1027" s="4">
        <v>8</v>
      </c>
      <c r="H1027" s="8">
        <v>1.84</v>
      </c>
      <c r="I1027" s="4">
        <v>0</v>
      </c>
    </row>
    <row r="1028" spans="1:9" x14ac:dyDescent="0.2">
      <c r="A1028" s="2">
        <v>13</v>
      </c>
      <c r="B1028" s="1" t="s">
        <v>113</v>
      </c>
      <c r="C1028" s="4">
        <v>32</v>
      </c>
      <c r="D1028" s="8">
        <v>2.68</v>
      </c>
      <c r="E1028" s="4">
        <v>25</v>
      </c>
      <c r="F1028" s="8">
        <v>3.35</v>
      </c>
      <c r="G1028" s="4">
        <v>7</v>
      </c>
      <c r="H1028" s="8">
        <v>1.61</v>
      </c>
      <c r="I1028" s="4">
        <v>0</v>
      </c>
    </row>
    <row r="1029" spans="1:9" x14ac:dyDescent="0.2">
      <c r="A1029" s="2">
        <v>14</v>
      </c>
      <c r="B1029" s="1" t="s">
        <v>101</v>
      </c>
      <c r="C1029" s="4">
        <v>23</v>
      </c>
      <c r="D1029" s="8">
        <v>1.92</v>
      </c>
      <c r="E1029" s="4">
        <v>4</v>
      </c>
      <c r="F1029" s="8">
        <v>0.54</v>
      </c>
      <c r="G1029" s="4">
        <v>19</v>
      </c>
      <c r="H1029" s="8">
        <v>4.38</v>
      </c>
      <c r="I1029" s="4">
        <v>0</v>
      </c>
    </row>
    <row r="1030" spans="1:9" x14ac:dyDescent="0.2">
      <c r="A1030" s="2">
        <v>15</v>
      </c>
      <c r="B1030" s="1" t="s">
        <v>100</v>
      </c>
      <c r="C1030" s="4">
        <v>21</v>
      </c>
      <c r="D1030" s="8">
        <v>1.76</v>
      </c>
      <c r="E1030" s="4">
        <v>5</v>
      </c>
      <c r="F1030" s="8">
        <v>0.67</v>
      </c>
      <c r="G1030" s="4">
        <v>16</v>
      </c>
      <c r="H1030" s="8">
        <v>3.69</v>
      </c>
      <c r="I1030" s="4">
        <v>0</v>
      </c>
    </row>
    <row r="1031" spans="1:9" x14ac:dyDescent="0.2">
      <c r="A1031" s="2">
        <v>15</v>
      </c>
      <c r="B1031" s="1" t="s">
        <v>103</v>
      </c>
      <c r="C1031" s="4">
        <v>21</v>
      </c>
      <c r="D1031" s="8">
        <v>1.76</v>
      </c>
      <c r="E1031" s="4">
        <v>13</v>
      </c>
      <c r="F1031" s="8">
        <v>1.74</v>
      </c>
      <c r="G1031" s="4">
        <v>8</v>
      </c>
      <c r="H1031" s="8">
        <v>1.84</v>
      </c>
      <c r="I1031" s="4">
        <v>0</v>
      </c>
    </row>
    <row r="1032" spans="1:9" x14ac:dyDescent="0.2">
      <c r="A1032" s="2">
        <v>17</v>
      </c>
      <c r="B1032" s="1" t="s">
        <v>109</v>
      </c>
      <c r="C1032" s="4">
        <v>20</v>
      </c>
      <c r="D1032" s="8">
        <v>1.67</v>
      </c>
      <c r="E1032" s="4">
        <v>16</v>
      </c>
      <c r="F1032" s="8">
        <v>2.14</v>
      </c>
      <c r="G1032" s="4">
        <v>4</v>
      </c>
      <c r="H1032" s="8">
        <v>0.92</v>
      </c>
      <c r="I1032" s="4">
        <v>0</v>
      </c>
    </row>
    <row r="1033" spans="1:9" x14ac:dyDescent="0.2">
      <c r="A1033" s="2">
        <v>17</v>
      </c>
      <c r="B1033" s="1" t="s">
        <v>110</v>
      </c>
      <c r="C1033" s="4">
        <v>20</v>
      </c>
      <c r="D1033" s="8">
        <v>1.67</v>
      </c>
      <c r="E1033" s="4">
        <v>12</v>
      </c>
      <c r="F1033" s="8">
        <v>1.61</v>
      </c>
      <c r="G1033" s="4">
        <v>8</v>
      </c>
      <c r="H1033" s="8">
        <v>1.84</v>
      </c>
      <c r="I1033" s="4">
        <v>0</v>
      </c>
    </row>
    <row r="1034" spans="1:9" x14ac:dyDescent="0.2">
      <c r="A1034" s="2">
        <v>19</v>
      </c>
      <c r="B1034" s="1" t="s">
        <v>118</v>
      </c>
      <c r="C1034" s="4">
        <v>19</v>
      </c>
      <c r="D1034" s="8">
        <v>1.59</v>
      </c>
      <c r="E1034" s="4">
        <v>0</v>
      </c>
      <c r="F1034" s="8">
        <v>0</v>
      </c>
      <c r="G1034" s="4">
        <v>12</v>
      </c>
      <c r="H1034" s="8">
        <v>2.76</v>
      </c>
      <c r="I1034" s="4">
        <v>5</v>
      </c>
    </row>
    <row r="1035" spans="1:9" x14ac:dyDescent="0.2">
      <c r="A1035" s="2">
        <v>20</v>
      </c>
      <c r="B1035" s="1" t="s">
        <v>121</v>
      </c>
      <c r="C1035" s="4">
        <v>12</v>
      </c>
      <c r="D1035" s="8">
        <v>1</v>
      </c>
      <c r="E1035" s="4">
        <v>3</v>
      </c>
      <c r="F1035" s="8">
        <v>0.4</v>
      </c>
      <c r="G1035" s="4">
        <v>9</v>
      </c>
      <c r="H1035" s="8">
        <v>2.0699999999999998</v>
      </c>
      <c r="I1035" s="4">
        <v>0</v>
      </c>
    </row>
    <row r="1036" spans="1:9" x14ac:dyDescent="0.2">
      <c r="A1036" s="1"/>
      <c r="C1036" s="4"/>
      <c r="D1036" s="8"/>
      <c r="E1036" s="4"/>
      <c r="F1036" s="8"/>
      <c r="G1036" s="4"/>
      <c r="H1036" s="8"/>
      <c r="I1036" s="4"/>
    </row>
    <row r="1037" spans="1:9" x14ac:dyDescent="0.2">
      <c r="A1037" s="1" t="s">
        <v>46</v>
      </c>
      <c r="C1037" s="4"/>
      <c r="D1037" s="8"/>
      <c r="E1037" s="4"/>
      <c r="F1037" s="8"/>
      <c r="G1037" s="4"/>
      <c r="H1037" s="8"/>
      <c r="I1037" s="4"/>
    </row>
    <row r="1038" spans="1:9" x14ac:dyDescent="0.2">
      <c r="A1038" s="2">
        <v>1</v>
      </c>
      <c r="B1038" s="1" t="s">
        <v>112</v>
      </c>
      <c r="C1038" s="4">
        <v>139</v>
      </c>
      <c r="D1038" s="8">
        <v>12.19</v>
      </c>
      <c r="E1038" s="4">
        <v>120</v>
      </c>
      <c r="F1038" s="8">
        <v>21.28</v>
      </c>
      <c r="G1038" s="4">
        <v>19</v>
      </c>
      <c r="H1038" s="8">
        <v>3.35</v>
      </c>
      <c r="I1038" s="4">
        <v>0</v>
      </c>
    </row>
    <row r="1039" spans="1:9" x14ac:dyDescent="0.2">
      <c r="A1039" s="2">
        <v>2</v>
      </c>
      <c r="B1039" s="1" t="s">
        <v>111</v>
      </c>
      <c r="C1039" s="4">
        <v>113</v>
      </c>
      <c r="D1039" s="8">
        <v>9.91</v>
      </c>
      <c r="E1039" s="4">
        <v>96</v>
      </c>
      <c r="F1039" s="8">
        <v>17.02</v>
      </c>
      <c r="G1039" s="4">
        <v>16</v>
      </c>
      <c r="H1039" s="8">
        <v>2.82</v>
      </c>
      <c r="I1039" s="4">
        <v>1</v>
      </c>
    </row>
    <row r="1040" spans="1:9" x14ac:dyDescent="0.2">
      <c r="A1040" s="2">
        <v>3</v>
      </c>
      <c r="B1040" s="1" t="s">
        <v>108</v>
      </c>
      <c r="C1040" s="4">
        <v>82</v>
      </c>
      <c r="D1040" s="8">
        <v>7.19</v>
      </c>
      <c r="E1040" s="4">
        <v>33</v>
      </c>
      <c r="F1040" s="8">
        <v>5.85</v>
      </c>
      <c r="G1040" s="4">
        <v>48</v>
      </c>
      <c r="H1040" s="8">
        <v>8.4700000000000006</v>
      </c>
      <c r="I1040" s="4">
        <v>1</v>
      </c>
    </row>
    <row r="1041" spans="1:9" x14ac:dyDescent="0.2">
      <c r="A1041" s="2">
        <v>4</v>
      </c>
      <c r="B1041" s="1" t="s">
        <v>97</v>
      </c>
      <c r="C1041" s="4">
        <v>77</v>
      </c>
      <c r="D1041" s="8">
        <v>6.75</v>
      </c>
      <c r="E1041" s="4">
        <v>12</v>
      </c>
      <c r="F1041" s="8">
        <v>2.13</v>
      </c>
      <c r="G1041" s="4">
        <v>65</v>
      </c>
      <c r="H1041" s="8">
        <v>11.46</v>
      </c>
      <c r="I1041" s="4">
        <v>0</v>
      </c>
    </row>
    <row r="1042" spans="1:9" x14ac:dyDescent="0.2">
      <c r="A1042" s="2">
        <v>5</v>
      </c>
      <c r="B1042" s="1" t="s">
        <v>114</v>
      </c>
      <c r="C1042" s="4">
        <v>74</v>
      </c>
      <c r="D1042" s="8">
        <v>6.49</v>
      </c>
      <c r="E1042" s="4">
        <v>47</v>
      </c>
      <c r="F1042" s="8">
        <v>8.33</v>
      </c>
      <c r="G1042" s="4">
        <v>20</v>
      </c>
      <c r="H1042" s="8">
        <v>3.53</v>
      </c>
      <c r="I1042" s="4">
        <v>0</v>
      </c>
    </row>
    <row r="1043" spans="1:9" x14ac:dyDescent="0.2">
      <c r="A1043" s="2">
        <v>6</v>
      </c>
      <c r="B1043" s="1" t="s">
        <v>99</v>
      </c>
      <c r="C1043" s="4">
        <v>60</v>
      </c>
      <c r="D1043" s="8">
        <v>5.26</v>
      </c>
      <c r="E1043" s="4">
        <v>12</v>
      </c>
      <c r="F1043" s="8">
        <v>2.13</v>
      </c>
      <c r="G1043" s="4">
        <v>48</v>
      </c>
      <c r="H1043" s="8">
        <v>8.4700000000000006</v>
      </c>
      <c r="I1043" s="4">
        <v>0</v>
      </c>
    </row>
    <row r="1044" spans="1:9" x14ac:dyDescent="0.2">
      <c r="A1044" s="2">
        <v>7</v>
      </c>
      <c r="B1044" s="1" t="s">
        <v>115</v>
      </c>
      <c r="C1044" s="4">
        <v>58</v>
      </c>
      <c r="D1044" s="8">
        <v>5.09</v>
      </c>
      <c r="E1044" s="4">
        <v>51</v>
      </c>
      <c r="F1044" s="8">
        <v>9.0399999999999991</v>
      </c>
      <c r="G1044" s="4">
        <v>7</v>
      </c>
      <c r="H1044" s="8">
        <v>1.23</v>
      </c>
      <c r="I1044" s="4">
        <v>0</v>
      </c>
    </row>
    <row r="1045" spans="1:9" x14ac:dyDescent="0.2">
      <c r="A1045" s="2">
        <v>8</v>
      </c>
      <c r="B1045" s="1" t="s">
        <v>106</v>
      </c>
      <c r="C1045" s="4">
        <v>52</v>
      </c>
      <c r="D1045" s="8">
        <v>4.5599999999999996</v>
      </c>
      <c r="E1045" s="4">
        <v>24</v>
      </c>
      <c r="F1045" s="8">
        <v>4.26</v>
      </c>
      <c r="G1045" s="4">
        <v>28</v>
      </c>
      <c r="H1045" s="8">
        <v>4.9400000000000004</v>
      </c>
      <c r="I1045" s="4">
        <v>0</v>
      </c>
    </row>
    <row r="1046" spans="1:9" x14ac:dyDescent="0.2">
      <c r="A1046" s="2">
        <v>9</v>
      </c>
      <c r="B1046" s="1" t="s">
        <v>104</v>
      </c>
      <c r="C1046" s="4">
        <v>50</v>
      </c>
      <c r="D1046" s="8">
        <v>4.3899999999999997</v>
      </c>
      <c r="E1046" s="4">
        <v>37</v>
      </c>
      <c r="F1046" s="8">
        <v>6.56</v>
      </c>
      <c r="G1046" s="4">
        <v>13</v>
      </c>
      <c r="H1046" s="8">
        <v>2.29</v>
      </c>
      <c r="I1046" s="4">
        <v>0</v>
      </c>
    </row>
    <row r="1047" spans="1:9" x14ac:dyDescent="0.2">
      <c r="A1047" s="2">
        <v>10</v>
      </c>
      <c r="B1047" s="1" t="s">
        <v>109</v>
      </c>
      <c r="C1047" s="4">
        <v>43</v>
      </c>
      <c r="D1047" s="8">
        <v>3.77</v>
      </c>
      <c r="E1047" s="4">
        <v>29</v>
      </c>
      <c r="F1047" s="8">
        <v>5.14</v>
      </c>
      <c r="G1047" s="4">
        <v>14</v>
      </c>
      <c r="H1047" s="8">
        <v>2.4700000000000002</v>
      </c>
      <c r="I1047" s="4">
        <v>0</v>
      </c>
    </row>
    <row r="1048" spans="1:9" x14ac:dyDescent="0.2">
      <c r="A1048" s="2">
        <v>11</v>
      </c>
      <c r="B1048" s="1" t="s">
        <v>98</v>
      </c>
      <c r="C1048" s="4">
        <v>42</v>
      </c>
      <c r="D1048" s="8">
        <v>3.68</v>
      </c>
      <c r="E1048" s="4">
        <v>12</v>
      </c>
      <c r="F1048" s="8">
        <v>2.13</v>
      </c>
      <c r="G1048" s="4">
        <v>30</v>
      </c>
      <c r="H1048" s="8">
        <v>5.29</v>
      </c>
      <c r="I1048" s="4">
        <v>0</v>
      </c>
    </row>
    <row r="1049" spans="1:9" x14ac:dyDescent="0.2">
      <c r="A1049" s="2">
        <v>12</v>
      </c>
      <c r="B1049" s="1" t="s">
        <v>110</v>
      </c>
      <c r="C1049" s="4">
        <v>33</v>
      </c>
      <c r="D1049" s="8">
        <v>2.89</v>
      </c>
      <c r="E1049" s="4">
        <v>8</v>
      </c>
      <c r="F1049" s="8">
        <v>1.42</v>
      </c>
      <c r="G1049" s="4">
        <v>25</v>
      </c>
      <c r="H1049" s="8">
        <v>4.41</v>
      </c>
      <c r="I1049" s="4">
        <v>0</v>
      </c>
    </row>
    <row r="1050" spans="1:9" x14ac:dyDescent="0.2">
      <c r="A1050" s="2">
        <v>13</v>
      </c>
      <c r="B1050" s="1" t="s">
        <v>105</v>
      </c>
      <c r="C1050" s="4">
        <v>30</v>
      </c>
      <c r="D1050" s="8">
        <v>2.63</v>
      </c>
      <c r="E1050" s="4">
        <v>20</v>
      </c>
      <c r="F1050" s="8">
        <v>3.55</v>
      </c>
      <c r="G1050" s="4">
        <v>10</v>
      </c>
      <c r="H1050" s="8">
        <v>1.76</v>
      </c>
      <c r="I1050" s="4">
        <v>0</v>
      </c>
    </row>
    <row r="1051" spans="1:9" x14ac:dyDescent="0.2">
      <c r="A1051" s="2">
        <v>14</v>
      </c>
      <c r="B1051" s="1" t="s">
        <v>107</v>
      </c>
      <c r="C1051" s="4">
        <v>27</v>
      </c>
      <c r="D1051" s="8">
        <v>2.37</v>
      </c>
      <c r="E1051" s="4">
        <v>0</v>
      </c>
      <c r="F1051" s="8">
        <v>0</v>
      </c>
      <c r="G1051" s="4">
        <v>27</v>
      </c>
      <c r="H1051" s="8">
        <v>4.76</v>
      </c>
      <c r="I1051" s="4">
        <v>0</v>
      </c>
    </row>
    <row r="1052" spans="1:9" x14ac:dyDescent="0.2">
      <c r="A1052" s="2">
        <v>15</v>
      </c>
      <c r="B1052" s="1" t="s">
        <v>113</v>
      </c>
      <c r="C1052" s="4">
        <v>22</v>
      </c>
      <c r="D1052" s="8">
        <v>1.93</v>
      </c>
      <c r="E1052" s="4">
        <v>11</v>
      </c>
      <c r="F1052" s="8">
        <v>1.95</v>
      </c>
      <c r="G1052" s="4">
        <v>11</v>
      </c>
      <c r="H1052" s="8">
        <v>1.94</v>
      </c>
      <c r="I1052" s="4">
        <v>0</v>
      </c>
    </row>
    <row r="1053" spans="1:9" x14ac:dyDescent="0.2">
      <c r="A1053" s="2">
        <v>16</v>
      </c>
      <c r="B1053" s="1" t="s">
        <v>101</v>
      </c>
      <c r="C1053" s="4">
        <v>18</v>
      </c>
      <c r="D1053" s="8">
        <v>1.58</v>
      </c>
      <c r="E1053" s="4">
        <v>2</v>
      </c>
      <c r="F1053" s="8">
        <v>0.35</v>
      </c>
      <c r="G1053" s="4">
        <v>16</v>
      </c>
      <c r="H1053" s="8">
        <v>2.82</v>
      </c>
      <c r="I1053" s="4">
        <v>0</v>
      </c>
    </row>
    <row r="1054" spans="1:9" x14ac:dyDescent="0.2">
      <c r="A1054" s="2">
        <v>17</v>
      </c>
      <c r="B1054" s="1" t="s">
        <v>103</v>
      </c>
      <c r="C1054" s="4">
        <v>15</v>
      </c>
      <c r="D1054" s="8">
        <v>1.32</v>
      </c>
      <c r="E1054" s="4">
        <v>9</v>
      </c>
      <c r="F1054" s="8">
        <v>1.6</v>
      </c>
      <c r="G1054" s="4">
        <v>6</v>
      </c>
      <c r="H1054" s="8">
        <v>1.06</v>
      </c>
      <c r="I1054" s="4">
        <v>0</v>
      </c>
    </row>
    <row r="1055" spans="1:9" x14ac:dyDescent="0.2">
      <c r="A1055" s="2">
        <v>17</v>
      </c>
      <c r="B1055" s="1" t="s">
        <v>118</v>
      </c>
      <c r="C1055" s="4">
        <v>15</v>
      </c>
      <c r="D1055" s="8">
        <v>1.32</v>
      </c>
      <c r="E1055" s="4">
        <v>0</v>
      </c>
      <c r="F1055" s="8">
        <v>0</v>
      </c>
      <c r="G1055" s="4">
        <v>15</v>
      </c>
      <c r="H1055" s="8">
        <v>2.65</v>
      </c>
      <c r="I1055" s="4">
        <v>0</v>
      </c>
    </row>
    <row r="1056" spans="1:9" x14ac:dyDescent="0.2">
      <c r="A1056" s="2">
        <v>19</v>
      </c>
      <c r="B1056" s="1" t="s">
        <v>102</v>
      </c>
      <c r="C1056" s="4">
        <v>12</v>
      </c>
      <c r="D1056" s="8">
        <v>1.05</v>
      </c>
      <c r="E1056" s="4">
        <v>1</v>
      </c>
      <c r="F1056" s="8">
        <v>0.18</v>
      </c>
      <c r="G1056" s="4">
        <v>11</v>
      </c>
      <c r="H1056" s="8">
        <v>1.94</v>
      </c>
      <c r="I1056" s="4">
        <v>0</v>
      </c>
    </row>
    <row r="1057" spans="1:9" x14ac:dyDescent="0.2">
      <c r="A1057" s="2">
        <v>19</v>
      </c>
      <c r="B1057" s="1" t="s">
        <v>117</v>
      </c>
      <c r="C1057" s="4">
        <v>12</v>
      </c>
      <c r="D1057" s="8">
        <v>1.05</v>
      </c>
      <c r="E1057" s="4">
        <v>3</v>
      </c>
      <c r="F1057" s="8">
        <v>0.53</v>
      </c>
      <c r="G1057" s="4">
        <v>9</v>
      </c>
      <c r="H1057" s="8">
        <v>1.59</v>
      </c>
      <c r="I1057" s="4">
        <v>0</v>
      </c>
    </row>
    <row r="1058" spans="1:9" x14ac:dyDescent="0.2">
      <c r="A1058" s="2">
        <v>19</v>
      </c>
      <c r="B1058" s="1" t="s">
        <v>119</v>
      </c>
      <c r="C1058" s="4">
        <v>12</v>
      </c>
      <c r="D1058" s="8">
        <v>1.05</v>
      </c>
      <c r="E1058" s="4">
        <v>2</v>
      </c>
      <c r="F1058" s="8">
        <v>0.35</v>
      </c>
      <c r="G1058" s="4">
        <v>10</v>
      </c>
      <c r="H1058" s="8">
        <v>1.76</v>
      </c>
      <c r="I1058" s="4">
        <v>0</v>
      </c>
    </row>
    <row r="1059" spans="1:9" x14ac:dyDescent="0.2">
      <c r="A1059" s="1"/>
      <c r="C1059" s="4"/>
      <c r="D1059" s="8"/>
      <c r="E1059" s="4"/>
      <c r="F1059" s="8"/>
      <c r="G1059" s="4"/>
      <c r="H1059" s="8"/>
      <c r="I1059" s="4"/>
    </row>
    <row r="1060" spans="1:9" x14ac:dyDescent="0.2">
      <c r="A1060" s="1" t="s">
        <v>47</v>
      </c>
      <c r="C1060" s="4"/>
      <c r="D1060" s="8"/>
      <c r="E1060" s="4"/>
      <c r="F1060" s="8"/>
      <c r="G1060" s="4"/>
      <c r="H1060" s="8"/>
      <c r="I1060" s="4"/>
    </row>
    <row r="1061" spans="1:9" x14ac:dyDescent="0.2">
      <c r="A1061" s="2">
        <v>1</v>
      </c>
      <c r="B1061" s="1" t="s">
        <v>97</v>
      </c>
      <c r="C1061" s="4">
        <v>101</v>
      </c>
      <c r="D1061" s="8">
        <v>9.91</v>
      </c>
      <c r="E1061" s="4">
        <v>26</v>
      </c>
      <c r="F1061" s="8">
        <v>5.82</v>
      </c>
      <c r="G1061" s="4">
        <v>75</v>
      </c>
      <c r="H1061" s="8">
        <v>13.23</v>
      </c>
      <c r="I1061" s="4">
        <v>0</v>
      </c>
    </row>
    <row r="1062" spans="1:9" x14ac:dyDescent="0.2">
      <c r="A1062" s="2">
        <v>2</v>
      </c>
      <c r="B1062" s="1" t="s">
        <v>111</v>
      </c>
      <c r="C1062" s="4">
        <v>93</v>
      </c>
      <c r="D1062" s="8">
        <v>9.1300000000000008</v>
      </c>
      <c r="E1062" s="4">
        <v>81</v>
      </c>
      <c r="F1062" s="8">
        <v>18.12</v>
      </c>
      <c r="G1062" s="4">
        <v>12</v>
      </c>
      <c r="H1062" s="8">
        <v>2.12</v>
      </c>
      <c r="I1062" s="4">
        <v>0</v>
      </c>
    </row>
    <row r="1063" spans="1:9" x14ac:dyDescent="0.2">
      <c r="A1063" s="2">
        <v>3</v>
      </c>
      <c r="B1063" s="1" t="s">
        <v>112</v>
      </c>
      <c r="C1063" s="4">
        <v>84</v>
      </c>
      <c r="D1063" s="8">
        <v>8.24</v>
      </c>
      <c r="E1063" s="4">
        <v>68</v>
      </c>
      <c r="F1063" s="8">
        <v>15.21</v>
      </c>
      <c r="G1063" s="4">
        <v>15</v>
      </c>
      <c r="H1063" s="8">
        <v>2.65</v>
      </c>
      <c r="I1063" s="4">
        <v>1</v>
      </c>
    </row>
    <row r="1064" spans="1:9" x14ac:dyDescent="0.2">
      <c r="A1064" s="2">
        <v>4</v>
      </c>
      <c r="B1064" s="1" t="s">
        <v>98</v>
      </c>
      <c r="C1064" s="4">
        <v>71</v>
      </c>
      <c r="D1064" s="8">
        <v>6.97</v>
      </c>
      <c r="E1064" s="4">
        <v>29</v>
      </c>
      <c r="F1064" s="8">
        <v>6.49</v>
      </c>
      <c r="G1064" s="4">
        <v>42</v>
      </c>
      <c r="H1064" s="8">
        <v>7.41</v>
      </c>
      <c r="I1064" s="4">
        <v>0</v>
      </c>
    </row>
    <row r="1065" spans="1:9" x14ac:dyDescent="0.2">
      <c r="A1065" s="2">
        <v>5</v>
      </c>
      <c r="B1065" s="1" t="s">
        <v>99</v>
      </c>
      <c r="C1065" s="4">
        <v>47</v>
      </c>
      <c r="D1065" s="8">
        <v>4.6100000000000003</v>
      </c>
      <c r="E1065" s="4">
        <v>11</v>
      </c>
      <c r="F1065" s="8">
        <v>2.46</v>
      </c>
      <c r="G1065" s="4">
        <v>36</v>
      </c>
      <c r="H1065" s="8">
        <v>6.35</v>
      </c>
      <c r="I1065" s="4">
        <v>0</v>
      </c>
    </row>
    <row r="1066" spans="1:9" x14ac:dyDescent="0.2">
      <c r="A1066" s="2">
        <v>6</v>
      </c>
      <c r="B1066" s="1" t="s">
        <v>106</v>
      </c>
      <c r="C1066" s="4">
        <v>44</v>
      </c>
      <c r="D1066" s="8">
        <v>4.32</v>
      </c>
      <c r="E1066" s="4">
        <v>25</v>
      </c>
      <c r="F1066" s="8">
        <v>5.59</v>
      </c>
      <c r="G1066" s="4">
        <v>19</v>
      </c>
      <c r="H1066" s="8">
        <v>3.35</v>
      </c>
      <c r="I1066" s="4">
        <v>0</v>
      </c>
    </row>
    <row r="1067" spans="1:9" x14ac:dyDescent="0.2">
      <c r="A1067" s="2">
        <v>7</v>
      </c>
      <c r="B1067" s="1" t="s">
        <v>108</v>
      </c>
      <c r="C1067" s="4">
        <v>39</v>
      </c>
      <c r="D1067" s="8">
        <v>3.83</v>
      </c>
      <c r="E1067" s="4">
        <v>7</v>
      </c>
      <c r="F1067" s="8">
        <v>1.57</v>
      </c>
      <c r="G1067" s="4">
        <v>32</v>
      </c>
      <c r="H1067" s="8">
        <v>5.64</v>
      </c>
      <c r="I1067" s="4">
        <v>0</v>
      </c>
    </row>
    <row r="1068" spans="1:9" x14ac:dyDescent="0.2">
      <c r="A1068" s="2">
        <v>8</v>
      </c>
      <c r="B1068" s="1" t="s">
        <v>105</v>
      </c>
      <c r="C1068" s="4">
        <v>37</v>
      </c>
      <c r="D1068" s="8">
        <v>3.63</v>
      </c>
      <c r="E1068" s="4">
        <v>26</v>
      </c>
      <c r="F1068" s="8">
        <v>5.82</v>
      </c>
      <c r="G1068" s="4">
        <v>11</v>
      </c>
      <c r="H1068" s="8">
        <v>1.94</v>
      </c>
      <c r="I1068" s="4">
        <v>0</v>
      </c>
    </row>
    <row r="1069" spans="1:9" x14ac:dyDescent="0.2">
      <c r="A1069" s="2">
        <v>9</v>
      </c>
      <c r="B1069" s="1" t="s">
        <v>114</v>
      </c>
      <c r="C1069" s="4">
        <v>36</v>
      </c>
      <c r="D1069" s="8">
        <v>3.53</v>
      </c>
      <c r="E1069" s="4">
        <v>27</v>
      </c>
      <c r="F1069" s="8">
        <v>6.04</v>
      </c>
      <c r="G1069" s="4">
        <v>6</v>
      </c>
      <c r="H1069" s="8">
        <v>1.06</v>
      </c>
      <c r="I1069" s="4">
        <v>0</v>
      </c>
    </row>
    <row r="1070" spans="1:9" x14ac:dyDescent="0.2">
      <c r="A1070" s="2">
        <v>10</v>
      </c>
      <c r="B1070" s="1" t="s">
        <v>100</v>
      </c>
      <c r="C1070" s="4">
        <v>35</v>
      </c>
      <c r="D1070" s="8">
        <v>3.43</v>
      </c>
      <c r="E1070" s="4">
        <v>11</v>
      </c>
      <c r="F1070" s="8">
        <v>2.46</v>
      </c>
      <c r="G1070" s="4">
        <v>24</v>
      </c>
      <c r="H1070" s="8">
        <v>4.2300000000000004</v>
      </c>
      <c r="I1070" s="4">
        <v>0</v>
      </c>
    </row>
    <row r="1071" spans="1:9" x14ac:dyDescent="0.2">
      <c r="A1071" s="2">
        <v>10</v>
      </c>
      <c r="B1071" s="1" t="s">
        <v>104</v>
      </c>
      <c r="C1071" s="4">
        <v>35</v>
      </c>
      <c r="D1071" s="8">
        <v>3.43</v>
      </c>
      <c r="E1071" s="4">
        <v>18</v>
      </c>
      <c r="F1071" s="8">
        <v>4.03</v>
      </c>
      <c r="G1071" s="4">
        <v>17</v>
      </c>
      <c r="H1071" s="8">
        <v>3</v>
      </c>
      <c r="I1071" s="4">
        <v>0</v>
      </c>
    </row>
    <row r="1072" spans="1:9" x14ac:dyDescent="0.2">
      <c r="A1072" s="2">
        <v>12</v>
      </c>
      <c r="B1072" s="1" t="s">
        <v>116</v>
      </c>
      <c r="C1072" s="4">
        <v>30</v>
      </c>
      <c r="D1072" s="8">
        <v>2.94</v>
      </c>
      <c r="E1072" s="4">
        <v>21</v>
      </c>
      <c r="F1072" s="8">
        <v>4.7</v>
      </c>
      <c r="G1072" s="4">
        <v>9</v>
      </c>
      <c r="H1072" s="8">
        <v>1.59</v>
      </c>
      <c r="I1072" s="4">
        <v>0</v>
      </c>
    </row>
    <row r="1073" spans="1:9" x14ac:dyDescent="0.2">
      <c r="A1073" s="2">
        <v>13</v>
      </c>
      <c r="B1073" s="1" t="s">
        <v>120</v>
      </c>
      <c r="C1073" s="4">
        <v>24</v>
      </c>
      <c r="D1073" s="8">
        <v>2.36</v>
      </c>
      <c r="E1073" s="4">
        <v>1</v>
      </c>
      <c r="F1073" s="8">
        <v>0.22</v>
      </c>
      <c r="G1073" s="4">
        <v>23</v>
      </c>
      <c r="H1073" s="8">
        <v>4.0599999999999996</v>
      </c>
      <c r="I1073" s="4">
        <v>0</v>
      </c>
    </row>
    <row r="1074" spans="1:9" x14ac:dyDescent="0.2">
      <c r="A1074" s="2">
        <v>13</v>
      </c>
      <c r="B1074" s="1" t="s">
        <v>115</v>
      </c>
      <c r="C1074" s="4">
        <v>24</v>
      </c>
      <c r="D1074" s="8">
        <v>2.36</v>
      </c>
      <c r="E1074" s="4">
        <v>19</v>
      </c>
      <c r="F1074" s="8">
        <v>4.25</v>
      </c>
      <c r="G1074" s="4">
        <v>5</v>
      </c>
      <c r="H1074" s="8">
        <v>0.88</v>
      </c>
      <c r="I1074" s="4">
        <v>0</v>
      </c>
    </row>
    <row r="1075" spans="1:9" x14ac:dyDescent="0.2">
      <c r="A1075" s="2">
        <v>15</v>
      </c>
      <c r="B1075" s="1" t="s">
        <v>107</v>
      </c>
      <c r="C1075" s="4">
        <v>22</v>
      </c>
      <c r="D1075" s="8">
        <v>2.16</v>
      </c>
      <c r="E1075" s="4">
        <v>3</v>
      </c>
      <c r="F1075" s="8">
        <v>0.67</v>
      </c>
      <c r="G1075" s="4">
        <v>19</v>
      </c>
      <c r="H1075" s="8">
        <v>3.35</v>
      </c>
      <c r="I1075" s="4">
        <v>0</v>
      </c>
    </row>
    <row r="1076" spans="1:9" x14ac:dyDescent="0.2">
      <c r="A1076" s="2">
        <v>16</v>
      </c>
      <c r="B1076" s="1" t="s">
        <v>110</v>
      </c>
      <c r="C1076" s="4">
        <v>19</v>
      </c>
      <c r="D1076" s="8">
        <v>1.86</v>
      </c>
      <c r="E1076" s="4">
        <v>5</v>
      </c>
      <c r="F1076" s="8">
        <v>1.1200000000000001</v>
      </c>
      <c r="G1076" s="4">
        <v>14</v>
      </c>
      <c r="H1076" s="8">
        <v>2.4700000000000002</v>
      </c>
      <c r="I1076" s="4">
        <v>0</v>
      </c>
    </row>
    <row r="1077" spans="1:9" x14ac:dyDescent="0.2">
      <c r="A1077" s="2">
        <v>17</v>
      </c>
      <c r="B1077" s="1" t="s">
        <v>109</v>
      </c>
      <c r="C1077" s="4">
        <v>17</v>
      </c>
      <c r="D1077" s="8">
        <v>1.67</v>
      </c>
      <c r="E1077" s="4">
        <v>8</v>
      </c>
      <c r="F1077" s="8">
        <v>1.79</v>
      </c>
      <c r="G1077" s="4">
        <v>9</v>
      </c>
      <c r="H1077" s="8">
        <v>1.59</v>
      </c>
      <c r="I1077" s="4">
        <v>0</v>
      </c>
    </row>
    <row r="1078" spans="1:9" x14ac:dyDescent="0.2">
      <c r="A1078" s="2">
        <v>18</v>
      </c>
      <c r="B1078" s="1" t="s">
        <v>122</v>
      </c>
      <c r="C1078" s="4">
        <v>15</v>
      </c>
      <c r="D1078" s="8">
        <v>1.47</v>
      </c>
      <c r="E1078" s="4">
        <v>1</v>
      </c>
      <c r="F1078" s="8">
        <v>0.22</v>
      </c>
      <c r="G1078" s="4">
        <v>14</v>
      </c>
      <c r="H1078" s="8">
        <v>2.4700000000000002</v>
      </c>
      <c r="I1078" s="4">
        <v>0</v>
      </c>
    </row>
    <row r="1079" spans="1:9" x14ac:dyDescent="0.2">
      <c r="A1079" s="2">
        <v>19</v>
      </c>
      <c r="B1079" s="1" t="s">
        <v>101</v>
      </c>
      <c r="C1079" s="4">
        <v>13</v>
      </c>
      <c r="D1079" s="8">
        <v>1.28</v>
      </c>
      <c r="E1079" s="4">
        <v>1</v>
      </c>
      <c r="F1079" s="8">
        <v>0.22</v>
      </c>
      <c r="G1079" s="4">
        <v>12</v>
      </c>
      <c r="H1079" s="8">
        <v>2.12</v>
      </c>
      <c r="I1079" s="4">
        <v>0</v>
      </c>
    </row>
    <row r="1080" spans="1:9" x14ac:dyDescent="0.2">
      <c r="A1080" s="2">
        <v>20</v>
      </c>
      <c r="B1080" s="1" t="s">
        <v>135</v>
      </c>
      <c r="C1080" s="4">
        <v>12</v>
      </c>
      <c r="D1080" s="8">
        <v>1.18</v>
      </c>
      <c r="E1080" s="4">
        <v>3</v>
      </c>
      <c r="F1080" s="8">
        <v>0.67</v>
      </c>
      <c r="G1080" s="4">
        <v>9</v>
      </c>
      <c r="H1080" s="8">
        <v>1.59</v>
      </c>
      <c r="I1080" s="4">
        <v>0</v>
      </c>
    </row>
    <row r="1081" spans="1:9" x14ac:dyDescent="0.2">
      <c r="A1081" s="2">
        <v>20</v>
      </c>
      <c r="B1081" s="1" t="s">
        <v>125</v>
      </c>
      <c r="C1081" s="4">
        <v>12</v>
      </c>
      <c r="D1081" s="8">
        <v>1.18</v>
      </c>
      <c r="E1081" s="4">
        <v>6</v>
      </c>
      <c r="F1081" s="8">
        <v>1.34</v>
      </c>
      <c r="G1081" s="4">
        <v>6</v>
      </c>
      <c r="H1081" s="8">
        <v>1.06</v>
      </c>
      <c r="I1081" s="4">
        <v>0</v>
      </c>
    </row>
    <row r="1082" spans="1:9" x14ac:dyDescent="0.2">
      <c r="A1082" s="2">
        <v>20</v>
      </c>
      <c r="B1082" s="1" t="s">
        <v>102</v>
      </c>
      <c r="C1082" s="4">
        <v>12</v>
      </c>
      <c r="D1082" s="8">
        <v>1.18</v>
      </c>
      <c r="E1082" s="4">
        <v>2</v>
      </c>
      <c r="F1082" s="8">
        <v>0.45</v>
      </c>
      <c r="G1082" s="4">
        <v>10</v>
      </c>
      <c r="H1082" s="8">
        <v>1.76</v>
      </c>
      <c r="I1082" s="4">
        <v>0</v>
      </c>
    </row>
    <row r="1083" spans="1:9" x14ac:dyDescent="0.2">
      <c r="A1083" s="2">
        <v>20</v>
      </c>
      <c r="B1083" s="1" t="s">
        <v>118</v>
      </c>
      <c r="C1083" s="4">
        <v>12</v>
      </c>
      <c r="D1083" s="8">
        <v>1.18</v>
      </c>
      <c r="E1083" s="4">
        <v>0</v>
      </c>
      <c r="F1083" s="8">
        <v>0</v>
      </c>
      <c r="G1083" s="4">
        <v>12</v>
      </c>
      <c r="H1083" s="8">
        <v>2.12</v>
      </c>
      <c r="I1083" s="4">
        <v>0</v>
      </c>
    </row>
    <row r="1084" spans="1:9" x14ac:dyDescent="0.2">
      <c r="A1084" s="1"/>
      <c r="C1084" s="4"/>
      <c r="D1084" s="8"/>
      <c r="E1084" s="4"/>
      <c r="F1084" s="8"/>
      <c r="G1084" s="4"/>
      <c r="H1084" s="8"/>
      <c r="I1084" s="4"/>
    </row>
    <row r="1085" spans="1:9" x14ac:dyDescent="0.2">
      <c r="A1085" s="1" t="s">
        <v>48</v>
      </c>
      <c r="C1085" s="4"/>
      <c r="D1085" s="8"/>
      <c r="E1085" s="4"/>
      <c r="F1085" s="8"/>
      <c r="G1085" s="4"/>
      <c r="H1085" s="8"/>
      <c r="I1085" s="4"/>
    </row>
    <row r="1086" spans="1:9" x14ac:dyDescent="0.2">
      <c r="A1086" s="2">
        <v>1</v>
      </c>
      <c r="B1086" s="1" t="s">
        <v>112</v>
      </c>
      <c r="C1086" s="4">
        <v>116</v>
      </c>
      <c r="D1086" s="8">
        <v>9.4600000000000009</v>
      </c>
      <c r="E1086" s="4">
        <v>94</v>
      </c>
      <c r="F1086" s="8">
        <v>18.649999999999999</v>
      </c>
      <c r="G1086" s="4">
        <v>22</v>
      </c>
      <c r="H1086" s="8">
        <v>3.09</v>
      </c>
      <c r="I1086" s="4">
        <v>0</v>
      </c>
    </row>
    <row r="1087" spans="1:9" x14ac:dyDescent="0.2">
      <c r="A1087" s="2">
        <v>2</v>
      </c>
      <c r="B1087" s="1" t="s">
        <v>98</v>
      </c>
      <c r="C1087" s="4">
        <v>79</v>
      </c>
      <c r="D1087" s="8">
        <v>6.44</v>
      </c>
      <c r="E1087" s="4">
        <v>21</v>
      </c>
      <c r="F1087" s="8">
        <v>4.17</v>
      </c>
      <c r="G1087" s="4">
        <v>58</v>
      </c>
      <c r="H1087" s="8">
        <v>8.15</v>
      </c>
      <c r="I1087" s="4">
        <v>0</v>
      </c>
    </row>
    <row r="1088" spans="1:9" x14ac:dyDescent="0.2">
      <c r="A1088" s="2">
        <v>2</v>
      </c>
      <c r="B1088" s="1" t="s">
        <v>108</v>
      </c>
      <c r="C1088" s="4">
        <v>79</v>
      </c>
      <c r="D1088" s="8">
        <v>6.44</v>
      </c>
      <c r="E1088" s="4">
        <v>26</v>
      </c>
      <c r="F1088" s="8">
        <v>5.16</v>
      </c>
      <c r="G1088" s="4">
        <v>53</v>
      </c>
      <c r="H1088" s="8">
        <v>7.44</v>
      </c>
      <c r="I1088" s="4">
        <v>0</v>
      </c>
    </row>
    <row r="1089" spans="1:9" x14ac:dyDescent="0.2">
      <c r="A1089" s="2">
        <v>2</v>
      </c>
      <c r="B1089" s="1" t="s">
        <v>111</v>
      </c>
      <c r="C1089" s="4">
        <v>79</v>
      </c>
      <c r="D1089" s="8">
        <v>6.44</v>
      </c>
      <c r="E1089" s="4">
        <v>69</v>
      </c>
      <c r="F1089" s="8">
        <v>13.69</v>
      </c>
      <c r="G1089" s="4">
        <v>10</v>
      </c>
      <c r="H1089" s="8">
        <v>1.4</v>
      </c>
      <c r="I1089" s="4">
        <v>0</v>
      </c>
    </row>
    <row r="1090" spans="1:9" x14ac:dyDescent="0.2">
      <c r="A1090" s="2">
        <v>5</v>
      </c>
      <c r="B1090" s="1" t="s">
        <v>97</v>
      </c>
      <c r="C1090" s="4">
        <v>76</v>
      </c>
      <c r="D1090" s="8">
        <v>6.2</v>
      </c>
      <c r="E1090" s="4">
        <v>15</v>
      </c>
      <c r="F1090" s="8">
        <v>2.98</v>
      </c>
      <c r="G1090" s="4">
        <v>61</v>
      </c>
      <c r="H1090" s="8">
        <v>8.57</v>
      </c>
      <c r="I1090" s="4">
        <v>0</v>
      </c>
    </row>
    <row r="1091" spans="1:9" x14ac:dyDescent="0.2">
      <c r="A1091" s="2">
        <v>6</v>
      </c>
      <c r="B1091" s="1" t="s">
        <v>100</v>
      </c>
      <c r="C1091" s="4">
        <v>66</v>
      </c>
      <c r="D1091" s="8">
        <v>5.38</v>
      </c>
      <c r="E1091" s="4">
        <v>22</v>
      </c>
      <c r="F1091" s="8">
        <v>4.37</v>
      </c>
      <c r="G1091" s="4">
        <v>44</v>
      </c>
      <c r="H1091" s="8">
        <v>6.18</v>
      </c>
      <c r="I1091" s="4">
        <v>0</v>
      </c>
    </row>
    <row r="1092" spans="1:9" x14ac:dyDescent="0.2">
      <c r="A1092" s="2">
        <v>7</v>
      </c>
      <c r="B1092" s="1" t="s">
        <v>99</v>
      </c>
      <c r="C1092" s="4">
        <v>55</v>
      </c>
      <c r="D1092" s="8">
        <v>4.49</v>
      </c>
      <c r="E1092" s="4">
        <v>8</v>
      </c>
      <c r="F1092" s="8">
        <v>1.59</v>
      </c>
      <c r="G1092" s="4">
        <v>47</v>
      </c>
      <c r="H1092" s="8">
        <v>6.6</v>
      </c>
      <c r="I1092" s="4">
        <v>0</v>
      </c>
    </row>
    <row r="1093" spans="1:9" x14ac:dyDescent="0.2">
      <c r="A1093" s="2">
        <v>8</v>
      </c>
      <c r="B1093" s="1" t="s">
        <v>106</v>
      </c>
      <c r="C1093" s="4">
        <v>45</v>
      </c>
      <c r="D1093" s="8">
        <v>3.67</v>
      </c>
      <c r="E1093" s="4">
        <v>18</v>
      </c>
      <c r="F1093" s="8">
        <v>3.57</v>
      </c>
      <c r="G1093" s="4">
        <v>27</v>
      </c>
      <c r="H1093" s="8">
        <v>3.79</v>
      </c>
      <c r="I1093" s="4">
        <v>0</v>
      </c>
    </row>
    <row r="1094" spans="1:9" x14ac:dyDescent="0.2">
      <c r="A1094" s="2">
        <v>9</v>
      </c>
      <c r="B1094" s="1" t="s">
        <v>114</v>
      </c>
      <c r="C1094" s="4">
        <v>41</v>
      </c>
      <c r="D1094" s="8">
        <v>3.34</v>
      </c>
      <c r="E1094" s="4">
        <v>20</v>
      </c>
      <c r="F1094" s="8">
        <v>3.97</v>
      </c>
      <c r="G1094" s="4">
        <v>18</v>
      </c>
      <c r="H1094" s="8">
        <v>2.5299999999999998</v>
      </c>
      <c r="I1094" s="4">
        <v>0</v>
      </c>
    </row>
    <row r="1095" spans="1:9" x14ac:dyDescent="0.2">
      <c r="A1095" s="2">
        <v>9</v>
      </c>
      <c r="B1095" s="1" t="s">
        <v>115</v>
      </c>
      <c r="C1095" s="4">
        <v>41</v>
      </c>
      <c r="D1095" s="8">
        <v>3.34</v>
      </c>
      <c r="E1095" s="4">
        <v>36</v>
      </c>
      <c r="F1095" s="8">
        <v>7.14</v>
      </c>
      <c r="G1095" s="4">
        <v>5</v>
      </c>
      <c r="H1095" s="8">
        <v>0.7</v>
      </c>
      <c r="I1095" s="4">
        <v>0</v>
      </c>
    </row>
    <row r="1096" spans="1:9" x14ac:dyDescent="0.2">
      <c r="A1096" s="2">
        <v>11</v>
      </c>
      <c r="B1096" s="1" t="s">
        <v>105</v>
      </c>
      <c r="C1096" s="4">
        <v>37</v>
      </c>
      <c r="D1096" s="8">
        <v>3.02</v>
      </c>
      <c r="E1096" s="4">
        <v>18</v>
      </c>
      <c r="F1096" s="8">
        <v>3.57</v>
      </c>
      <c r="G1096" s="4">
        <v>19</v>
      </c>
      <c r="H1096" s="8">
        <v>2.67</v>
      </c>
      <c r="I1096" s="4">
        <v>0</v>
      </c>
    </row>
    <row r="1097" spans="1:9" x14ac:dyDescent="0.2">
      <c r="A1097" s="2">
        <v>12</v>
      </c>
      <c r="B1097" s="1" t="s">
        <v>104</v>
      </c>
      <c r="C1097" s="4">
        <v>36</v>
      </c>
      <c r="D1097" s="8">
        <v>2.94</v>
      </c>
      <c r="E1097" s="4">
        <v>31</v>
      </c>
      <c r="F1097" s="8">
        <v>6.15</v>
      </c>
      <c r="G1097" s="4">
        <v>4</v>
      </c>
      <c r="H1097" s="8">
        <v>0.56000000000000005</v>
      </c>
      <c r="I1097" s="4">
        <v>1</v>
      </c>
    </row>
    <row r="1098" spans="1:9" x14ac:dyDescent="0.2">
      <c r="A1098" s="2">
        <v>13</v>
      </c>
      <c r="B1098" s="1" t="s">
        <v>120</v>
      </c>
      <c r="C1098" s="4">
        <v>34</v>
      </c>
      <c r="D1098" s="8">
        <v>2.77</v>
      </c>
      <c r="E1098" s="4">
        <v>7</v>
      </c>
      <c r="F1098" s="8">
        <v>1.39</v>
      </c>
      <c r="G1098" s="4">
        <v>27</v>
      </c>
      <c r="H1098" s="8">
        <v>3.79</v>
      </c>
      <c r="I1098" s="4">
        <v>0</v>
      </c>
    </row>
    <row r="1099" spans="1:9" x14ac:dyDescent="0.2">
      <c r="A1099" s="2">
        <v>14</v>
      </c>
      <c r="B1099" s="1" t="s">
        <v>109</v>
      </c>
      <c r="C1099" s="4">
        <v>30</v>
      </c>
      <c r="D1099" s="8">
        <v>2.4500000000000002</v>
      </c>
      <c r="E1099" s="4">
        <v>15</v>
      </c>
      <c r="F1099" s="8">
        <v>2.98</v>
      </c>
      <c r="G1099" s="4">
        <v>15</v>
      </c>
      <c r="H1099" s="8">
        <v>2.11</v>
      </c>
      <c r="I1099" s="4">
        <v>0</v>
      </c>
    </row>
    <row r="1100" spans="1:9" x14ac:dyDescent="0.2">
      <c r="A1100" s="2">
        <v>15</v>
      </c>
      <c r="B1100" s="1" t="s">
        <v>113</v>
      </c>
      <c r="C1100" s="4">
        <v>24</v>
      </c>
      <c r="D1100" s="8">
        <v>1.96</v>
      </c>
      <c r="E1100" s="4">
        <v>12</v>
      </c>
      <c r="F1100" s="8">
        <v>2.38</v>
      </c>
      <c r="G1100" s="4">
        <v>12</v>
      </c>
      <c r="H1100" s="8">
        <v>1.69</v>
      </c>
      <c r="I1100" s="4">
        <v>0</v>
      </c>
    </row>
    <row r="1101" spans="1:9" x14ac:dyDescent="0.2">
      <c r="A1101" s="2">
        <v>16</v>
      </c>
      <c r="B1101" s="1" t="s">
        <v>101</v>
      </c>
      <c r="C1101" s="4">
        <v>22</v>
      </c>
      <c r="D1101" s="8">
        <v>1.79</v>
      </c>
      <c r="E1101" s="4">
        <v>4</v>
      </c>
      <c r="F1101" s="8">
        <v>0.79</v>
      </c>
      <c r="G1101" s="4">
        <v>18</v>
      </c>
      <c r="H1101" s="8">
        <v>2.5299999999999998</v>
      </c>
      <c r="I1101" s="4">
        <v>0</v>
      </c>
    </row>
    <row r="1102" spans="1:9" x14ac:dyDescent="0.2">
      <c r="A1102" s="2">
        <v>16</v>
      </c>
      <c r="B1102" s="1" t="s">
        <v>116</v>
      </c>
      <c r="C1102" s="4">
        <v>22</v>
      </c>
      <c r="D1102" s="8">
        <v>1.79</v>
      </c>
      <c r="E1102" s="4">
        <v>15</v>
      </c>
      <c r="F1102" s="8">
        <v>2.98</v>
      </c>
      <c r="G1102" s="4">
        <v>7</v>
      </c>
      <c r="H1102" s="8">
        <v>0.98</v>
      </c>
      <c r="I1102" s="4">
        <v>0</v>
      </c>
    </row>
    <row r="1103" spans="1:9" x14ac:dyDescent="0.2">
      <c r="A1103" s="2">
        <v>18</v>
      </c>
      <c r="B1103" s="1" t="s">
        <v>132</v>
      </c>
      <c r="C1103" s="4">
        <v>19</v>
      </c>
      <c r="D1103" s="8">
        <v>1.55</v>
      </c>
      <c r="E1103" s="4">
        <v>8</v>
      </c>
      <c r="F1103" s="8">
        <v>1.59</v>
      </c>
      <c r="G1103" s="4">
        <v>11</v>
      </c>
      <c r="H1103" s="8">
        <v>1.54</v>
      </c>
      <c r="I1103" s="4">
        <v>0</v>
      </c>
    </row>
    <row r="1104" spans="1:9" x14ac:dyDescent="0.2">
      <c r="A1104" s="2">
        <v>18</v>
      </c>
      <c r="B1104" s="1" t="s">
        <v>119</v>
      </c>
      <c r="C1104" s="4">
        <v>19</v>
      </c>
      <c r="D1104" s="8">
        <v>1.55</v>
      </c>
      <c r="E1104" s="4">
        <v>2</v>
      </c>
      <c r="F1104" s="8">
        <v>0.4</v>
      </c>
      <c r="G1104" s="4">
        <v>16</v>
      </c>
      <c r="H1104" s="8">
        <v>2.25</v>
      </c>
      <c r="I1104" s="4">
        <v>1</v>
      </c>
    </row>
    <row r="1105" spans="1:9" x14ac:dyDescent="0.2">
      <c r="A1105" s="2">
        <v>20</v>
      </c>
      <c r="B1105" s="1" t="s">
        <v>130</v>
      </c>
      <c r="C1105" s="4">
        <v>18</v>
      </c>
      <c r="D1105" s="8">
        <v>1.47</v>
      </c>
      <c r="E1105" s="4">
        <v>5</v>
      </c>
      <c r="F1105" s="8">
        <v>0.99</v>
      </c>
      <c r="G1105" s="4">
        <v>13</v>
      </c>
      <c r="H1105" s="8">
        <v>1.83</v>
      </c>
      <c r="I1105" s="4">
        <v>0</v>
      </c>
    </row>
    <row r="1106" spans="1:9" x14ac:dyDescent="0.2">
      <c r="A1106" s="1"/>
      <c r="C1106" s="4"/>
      <c r="D1106" s="8"/>
      <c r="E1106" s="4"/>
      <c r="F1106" s="8"/>
      <c r="G1106" s="4"/>
      <c r="H1106" s="8"/>
      <c r="I1106" s="4"/>
    </row>
    <row r="1107" spans="1:9" x14ac:dyDescent="0.2">
      <c r="A1107" s="1" t="s">
        <v>49</v>
      </c>
      <c r="C1107" s="4"/>
      <c r="D1107" s="8"/>
      <c r="E1107" s="4"/>
      <c r="F1107" s="8"/>
      <c r="G1107" s="4"/>
      <c r="H1107" s="8"/>
      <c r="I1107" s="4"/>
    </row>
    <row r="1108" spans="1:9" x14ac:dyDescent="0.2">
      <c r="A1108" s="2">
        <v>1</v>
      </c>
      <c r="B1108" s="1" t="s">
        <v>112</v>
      </c>
      <c r="C1108" s="4">
        <v>200</v>
      </c>
      <c r="D1108" s="8">
        <v>11.98</v>
      </c>
      <c r="E1108" s="4">
        <v>153</v>
      </c>
      <c r="F1108" s="8">
        <v>20.18</v>
      </c>
      <c r="G1108" s="4">
        <v>47</v>
      </c>
      <c r="H1108" s="8">
        <v>5.18</v>
      </c>
      <c r="I1108" s="4">
        <v>0</v>
      </c>
    </row>
    <row r="1109" spans="1:9" x14ac:dyDescent="0.2">
      <c r="A1109" s="2">
        <v>2</v>
      </c>
      <c r="B1109" s="1" t="s">
        <v>111</v>
      </c>
      <c r="C1109" s="4">
        <v>175</v>
      </c>
      <c r="D1109" s="8">
        <v>10.48</v>
      </c>
      <c r="E1109" s="4">
        <v>151</v>
      </c>
      <c r="F1109" s="8">
        <v>19.920000000000002</v>
      </c>
      <c r="G1109" s="4">
        <v>24</v>
      </c>
      <c r="H1109" s="8">
        <v>2.65</v>
      </c>
      <c r="I1109" s="4">
        <v>0</v>
      </c>
    </row>
    <row r="1110" spans="1:9" x14ac:dyDescent="0.2">
      <c r="A1110" s="2">
        <v>3</v>
      </c>
      <c r="B1110" s="1" t="s">
        <v>108</v>
      </c>
      <c r="C1110" s="4">
        <v>136</v>
      </c>
      <c r="D1110" s="8">
        <v>8.14</v>
      </c>
      <c r="E1110" s="4">
        <v>19</v>
      </c>
      <c r="F1110" s="8">
        <v>2.5099999999999998</v>
      </c>
      <c r="G1110" s="4">
        <v>117</v>
      </c>
      <c r="H1110" s="8">
        <v>12.9</v>
      </c>
      <c r="I1110" s="4">
        <v>0</v>
      </c>
    </row>
    <row r="1111" spans="1:9" x14ac:dyDescent="0.2">
      <c r="A1111" s="2">
        <v>4</v>
      </c>
      <c r="B1111" s="1" t="s">
        <v>106</v>
      </c>
      <c r="C1111" s="4">
        <v>113</v>
      </c>
      <c r="D1111" s="8">
        <v>6.77</v>
      </c>
      <c r="E1111" s="4">
        <v>62</v>
      </c>
      <c r="F1111" s="8">
        <v>8.18</v>
      </c>
      <c r="G1111" s="4">
        <v>51</v>
      </c>
      <c r="H1111" s="8">
        <v>5.62</v>
      </c>
      <c r="I1111" s="4">
        <v>0</v>
      </c>
    </row>
    <row r="1112" spans="1:9" x14ac:dyDescent="0.2">
      <c r="A1112" s="2">
        <v>5</v>
      </c>
      <c r="B1112" s="1" t="s">
        <v>98</v>
      </c>
      <c r="C1112" s="4">
        <v>92</v>
      </c>
      <c r="D1112" s="8">
        <v>5.51</v>
      </c>
      <c r="E1112" s="4">
        <v>21</v>
      </c>
      <c r="F1112" s="8">
        <v>2.77</v>
      </c>
      <c r="G1112" s="4">
        <v>71</v>
      </c>
      <c r="H1112" s="8">
        <v>7.83</v>
      </c>
      <c r="I1112" s="4">
        <v>0</v>
      </c>
    </row>
    <row r="1113" spans="1:9" x14ac:dyDescent="0.2">
      <c r="A1113" s="2">
        <v>6</v>
      </c>
      <c r="B1113" s="1" t="s">
        <v>97</v>
      </c>
      <c r="C1113" s="4">
        <v>89</v>
      </c>
      <c r="D1113" s="8">
        <v>5.33</v>
      </c>
      <c r="E1113" s="4">
        <v>12</v>
      </c>
      <c r="F1113" s="8">
        <v>1.58</v>
      </c>
      <c r="G1113" s="4">
        <v>77</v>
      </c>
      <c r="H1113" s="8">
        <v>8.49</v>
      </c>
      <c r="I1113" s="4">
        <v>0</v>
      </c>
    </row>
    <row r="1114" spans="1:9" x14ac:dyDescent="0.2">
      <c r="A1114" s="2">
        <v>7</v>
      </c>
      <c r="B1114" s="1" t="s">
        <v>114</v>
      </c>
      <c r="C1114" s="4">
        <v>85</v>
      </c>
      <c r="D1114" s="8">
        <v>5.09</v>
      </c>
      <c r="E1114" s="4">
        <v>67</v>
      </c>
      <c r="F1114" s="8">
        <v>8.84</v>
      </c>
      <c r="G1114" s="4">
        <v>18</v>
      </c>
      <c r="H1114" s="8">
        <v>1.98</v>
      </c>
      <c r="I1114" s="4">
        <v>0</v>
      </c>
    </row>
    <row r="1115" spans="1:9" x14ac:dyDescent="0.2">
      <c r="A1115" s="2">
        <v>8</v>
      </c>
      <c r="B1115" s="1" t="s">
        <v>104</v>
      </c>
      <c r="C1115" s="4">
        <v>80</v>
      </c>
      <c r="D1115" s="8">
        <v>4.79</v>
      </c>
      <c r="E1115" s="4">
        <v>55</v>
      </c>
      <c r="F1115" s="8">
        <v>7.26</v>
      </c>
      <c r="G1115" s="4">
        <v>25</v>
      </c>
      <c r="H1115" s="8">
        <v>2.76</v>
      </c>
      <c r="I1115" s="4">
        <v>0</v>
      </c>
    </row>
    <row r="1116" spans="1:9" x14ac:dyDescent="0.2">
      <c r="A1116" s="2">
        <v>9</v>
      </c>
      <c r="B1116" s="1" t="s">
        <v>99</v>
      </c>
      <c r="C1116" s="4">
        <v>67</v>
      </c>
      <c r="D1116" s="8">
        <v>4.01</v>
      </c>
      <c r="E1116" s="4">
        <v>10</v>
      </c>
      <c r="F1116" s="8">
        <v>1.32</v>
      </c>
      <c r="G1116" s="4">
        <v>57</v>
      </c>
      <c r="H1116" s="8">
        <v>6.28</v>
      </c>
      <c r="I1116" s="4">
        <v>0</v>
      </c>
    </row>
    <row r="1117" spans="1:9" x14ac:dyDescent="0.2">
      <c r="A1117" s="2">
        <v>10</v>
      </c>
      <c r="B1117" s="1" t="s">
        <v>109</v>
      </c>
      <c r="C1117" s="4">
        <v>57</v>
      </c>
      <c r="D1117" s="8">
        <v>3.41</v>
      </c>
      <c r="E1117" s="4">
        <v>30</v>
      </c>
      <c r="F1117" s="8">
        <v>3.96</v>
      </c>
      <c r="G1117" s="4">
        <v>27</v>
      </c>
      <c r="H1117" s="8">
        <v>2.98</v>
      </c>
      <c r="I1117" s="4">
        <v>0</v>
      </c>
    </row>
    <row r="1118" spans="1:9" x14ac:dyDescent="0.2">
      <c r="A1118" s="2">
        <v>11</v>
      </c>
      <c r="B1118" s="1" t="s">
        <v>115</v>
      </c>
      <c r="C1118" s="4">
        <v>56</v>
      </c>
      <c r="D1118" s="8">
        <v>3.35</v>
      </c>
      <c r="E1118" s="4">
        <v>48</v>
      </c>
      <c r="F1118" s="8">
        <v>6.33</v>
      </c>
      <c r="G1118" s="4">
        <v>8</v>
      </c>
      <c r="H1118" s="8">
        <v>0.88</v>
      </c>
      <c r="I1118" s="4">
        <v>0</v>
      </c>
    </row>
    <row r="1119" spans="1:9" x14ac:dyDescent="0.2">
      <c r="A1119" s="2">
        <v>12</v>
      </c>
      <c r="B1119" s="1" t="s">
        <v>107</v>
      </c>
      <c r="C1119" s="4">
        <v>42</v>
      </c>
      <c r="D1119" s="8">
        <v>2.5099999999999998</v>
      </c>
      <c r="E1119" s="4">
        <v>3</v>
      </c>
      <c r="F1119" s="8">
        <v>0.4</v>
      </c>
      <c r="G1119" s="4">
        <v>39</v>
      </c>
      <c r="H1119" s="8">
        <v>4.3</v>
      </c>
      <c r="I1119" s="4">
        <v>0</v>
      </c>
    </row>
    <row r="1120" spans="1:9" x14ac:dyDescent="0.2">
      <c r="A1120" s="2">
        <v>13</v>
      </c>
      <c r="B1120" s="1" t="s">
        <v>113</v>
      </c>
      <c r="C1120" s="4">
        <v>38</v>
      </c>
      <c r="D1120" s="8">
        <v>2.2799999999999998</v>
      </c>
      <c r="E1120" s="4">
        <v>14</v>
      </c>
      <c r="F1120" s="8">
        <v>1.85</v>
      </c>
      <c r="G1120" s="4">
        <v>24</v>
      </c>
      <c r="H1120" s="8">
        <v>2.65</v>
      </c>
      <c r="I1120" s="4">
        <v>0</v>
      </c>
    </row>
    <row r="1121" spans="1:9" x14ac:dyDescent="0.2">
      <c r="A1121" s="2">
        <v>14</v>
      </c>
      <c r="B1121" s="1" t="s">
        <v>105</v>
      </c>
      <c r="C1121" s="4">
        <v>35</v>
      </c>
      <c r="D1121" s="8">
        <v>2.1</v>
      </c>
      <c r="E1121" s="4">
        <v>19</v>
      </c>
      <c r="F1121" s="8">
        <v>2.5099999999999998</v>
      </c>
      <c r="G1121" s="4">
        <v>16</v>
      </c>
      <c r="H1121" s="8">
        <v>1.76</v>
      </c>
      <c r="I1121" s="4">
        <v>0</v>
      </c>
    </row>
    <row r="1122" spans="1:9" x14ac:dyDescent="0.2">
      <c r="A1122" s="2">
        <v>15</v>
      </c>
      <c r="B1122" s="1" t="s">
        <v>110</v>
      </c>
      <c r="C1122" s="4">
        <v>26</v>
      </c>
      <c r="D1122" s="8">
        <v>1.56</v>
      </c>
      <c r="E1122" s="4">
        <v>9</v>
      </c>
      <c r="F1122" s="8">
        <v>1.19</v>
      </c>
      <c r="G1122" s="4">
        <v>17</v>
      </c>
      <c r="H1122" s="8">
        <v>1.87</v>
      </c>
      <c r="I1122" s="4">
        <v>0</v>
      </c>
    </row>
    <row r="1123" spans="1:9" x14ac:dyDescent="0.2">
      <c r="A1123" s="2">
        <v>15</v>
      </c>
      <c r="B1123" s="1" t="s">
        <v>118</v>
      </c>
      <c r="C1123" s="4">
        <v>26</v>
      </c>
      <c r="D1123" s="8">
        <v>1.56</v>
      </c>
      <c r="E1123" s="4">
        <v>0</v>
      </c>
      <c r="F1123" s="8">
        <v>0</v>
      </c>
      <c r="G1123" s="4">
        <v>23</v>
      </c>
      <c r="H1123" s="8">
        <v>2.54</v>
      </c>
      <c r="I1123" s="4">
        <v>0</v>
      </c>
    </row>
    <row r="1124" spans="1:9" x14ac:dyDescent="0.2">
      <c r="A1124" s="2">
        <v>17</v>
      </c>
      <c r="B1124" s="1" t="s">
        <v>103</v>
      </c>
      <c r="C1124" s="4">
        <v>23</v>
      </c>
      <c r="D1124" s="8">
        <v>1.38</v>
      </c>
      <c r="E1124" s="4">
        <v>8</v>
      </c>
      <c r="F1124" s="8">
        <v>1.06</v>
      </c>
      <c r="G1124" s="4">
        <v>15</v>
      </c>
      <c r="H1124" s="8">
        <v>1.65</v>
      </c>
      <c r="I1124" s="4">
        <v>0</v>
      </c>
    </row>
    <row r="1125" spans="1:9" x14ac:dyDescent="0.2">
      <c r="A1125" s="2">
        <v>18</v>
      </c>
      <c r="B1125" s="1" t="s">
        <v>117</v>
      </c>
      <c r="C1125" s="4">
        <v>20</v>
      </c>
      <c r="D1125" s="8">
        <v>1.2</v>
      </c>
      <c r="E1125" s="4">
        <v>4</v>
      </c>
      <c r="F1125" s="8">
        <v>0.53</v>
      </c>
      <c r="G1125" s="4">
        <v>16</v>
      </c>
      <c r="H1125" s="8">
        <v>1.76</v>
      </c>
      <c r="I1125" s="4">
        <v>0</v>
      </c>
    </row>
    <row r="1126" spans="1:9" x14ac:dyDescent="0.2">
      <c r="A1126" s="2">
        <v>19</v>
      </c>
      <c r="B1126" s="1" t="s">
        <v>100</v>
      </c>
      <c r="C1126" s="4">
        <v>18</v>
      </c>
      <c r="D1126" s="8">
        <v>1.08</v>
      </c>
      <c r="E1126" s="4">
        <v>5</v>
      </c>
      <c r="F1126" s="8">
        <v>0.66</v>
      </c>
      <c r="G1126" s="4">
        <v>13</v>
      </c>
      <c r="H1126" s="8">
        <v>1.43</v>
      </c>
      <c r="I1126" s="4">
        <v>0</v>
      </c>
    </row>
    <row r="1127" spans="1:9" x14ac:dyDescent="0.2">
      <c r="A1127" s="2">
        <v>19</v>
      </c>
      <c r="B1127" s="1" t="s">
        <v>102</v>
      </c>
      <c r="C1127" s="4">
        <v>18</v>
      </c>
      <c r="D1127" s="8">
        <v>1.08</v>
      </c>
      <c r="E1127" s="4">
        <v>1</v>
      </c>
      <c r="F1127" s="8">
        <v>0.13</v>
      </c>
      <c r="G1127" s="4">
        <v>17</v>
      </c>
      <c r="H1127" s="8">
        <v>1.87</v>
      </c>
      <c r="I1127" s="4">
        <v>0</v>
      </c>
    </row>
    <row r="1128" spans="1:9" x14ac:dyDescent="0.2">
      <c r="A1128" s="1"/>
      <c r="C1128" s="4"/>
      <c r="D1128" s="8"/>
      <c r="E1128" s="4"/>
      <c r="F1128" s="8"/>
      <c r="G1128" s="4"/>
      <c r="H1128" s="8"/>
      <c r="I1128" s="4"/>
    </row>
    <row r="1129" spans="1:9" x14ac:dyDescent="0.2">
      <c r="A1129" s="1" t="s">
        <v>50</v>
      </c>
      <c r="C1129" s="4"/>
      <c r="D1129" s="8"/>
      <c r="E1129" s="4"/>
      <c r="F1129" s="8"/>
      <c r="G1129" s="4"/>
      <c r="H1129" s="8"/>
      <c r="I1129" s="4"/>
    </row>
    <row r="1130" spans="1:9" x14ac:dyDescent="0.2">
      <c r="A1130" s="2">
        <v>1</v>
      </c>
      <c r="B1130" s="1" t="s">
        <v>112</v>
      </c>
      <c r="C1130" s="4">
        <v>96</v>
      </c>
      <c r="D1130" s="8">
        <v>11.62</v>
      </c>
      <c r="E1130" s="4">
        <v>79</v>
      </c>
      <c r="F1130" s="8">
        <v>18.850000000000001</v>
      </c>
      <c r="G1130" s="4">
        <v>17</v>
      </c>
      <c r="H1130" s="8">
        <v>4.22</v>
      </c>
      <c r="I1130" s="4">
        <v>0</v>
      </c>
    </row>
    <row r="1131" spans="1:9" x14ac:dyDescent="0.2">
      <c r="A1131" s="2">
        <v>2</v>
      </c>
      <c r="B1131" s="1" t="s">
        <v>108</v>
      </c>
      <c r="C1131" s="4">
        <v>79</v>
      </c>
      <c r="D1131" s="8">
        <v>9.56</v>
      </c>
      <c r="E1131" s="4">
        <v>48</v>
      </c>
      <c r="F1131" s="8">
        <v>11.46</v>
      </c>
      <c r="G1131" s="4">
        <v>31</v>
      </c>
      <c r="H1131" s="8">
        <v>7.69</v>
      </c>
      <c r="I1131" s="4">
        <v>0</v>
      </c>
    </row>
    <row r="1132" spans="1:9" x14ac:dyDescent="0.2">
      <c r="A1132" s="2">
        <v>3</v>
      </c>
      <c r="B1132" s="1" t="s">
        <v>111</v>
      </c>
      <c r="C1132" s="4">
        <v>53</v>
      </c>
      <c r="D1132" s="8">
        <v>6.42</v>
      </c>
      <c r="E1132" s="4">
        <v>43</v>
      </c>
      <c r="F1132" s="8">
        <v>10.26</v>
      </c>
      <c r="G1132" s="4">
        <v>10</v>
      </c>
      <c r="H1132" s="8">
        <v>2.48</v>
      </c>
      <c r="I1132" s="4">
        <v>0</v>
      </c>
    </row>
    <row r="1133" spans="1:9" x14ac:dyDescent="0.2">
      <c r="A1133" s="2">
        <v>4</v>
      </c>
      <c r="B1133" s="1" t="s">
        <v>106</v>
      </c>
      <c r="C1133" s="4">
        <v>51</v>
      </c>
      <c r="D1133" s="8">
        <v>6.17</v>
      </c>
      <c r="E1133" s="4">
        <v>30</v>
      </c>
      <c r="F1133" s="8">
        <v>7.16</v>
      </c>
      <c r="G1133" s="4">
        <v>21</v>
      </c>
      <c r="H1133" s="8">
        <v>5.21</v>
      </c>
      <c r="I1133" s="4">
        <v>0</v>
      </c>
    </row>
    <row r="1134" spans="1:9" x14ac:dyDescent="0.2">
      <c r="A1134" s="2">
        <v>5</v>
      </c>
      <c r="B1134" s="1" t="s">
        <v>97</v>
      </c>
      <c r="C1134" s="4">
        <v>50</v>
      </c>
      <c r="D1134" s="8">
        <v>6.05</v>
      </c>
      <c r="E1134" s="4">
        <v>13</v>
      </c>
      <c r="F1134" s="8">
        <v>3.1</v>
      </c>
      <c r="G1134" s="4">
        <v>37</v>
      </c>
      <c r="H1134" s="8">
        <v>9.18</v>
      </c>
      <c r="I1134" s="4">
        <v>0</v>
      </c>
    </row>
    <row r="1135" spans="1:9" x14ac:dyDescent="0.2">
      <c r="A1135" s="2">
        <v>6</v>
      </c>
      <c r="B1135" s="1" t="s">
        <v>114</v>
      </c>
      <c r="C1135" s="4">
        <v>42</v>
      </c>
      <c r="D1135" s="8">
        <v>5.08</v>
      </c>
      <c r="E1135" s="4">
        <v>29</v>
      </c>
      <c r="F1135" s="8">
        <v>6.92</v>
      </c>
      <c r="G1135" s="4">
        <v>12</v>
      </c>
      <c r="H1135" s="8">
        <v>2.98</v>
      </c>
      <c r="I1135" s="4">
        <v>0</v>
      </c>
    </row>
    <row r="1136" spans="1:9" x14ac:dyDescent="0.2">
      <c r="A1136" s="2">
        <v>7</v>
      </c>
      <c r="B1136" s="1" t="s">
        <v>98</v>
      </c>
      <c r="C1136" s="4">
        <v>39</v>
      </c>
      <c r="D1136" s="8">
        <v>4.72</v>
      </c>
      <c r="E1136" s="4">
        <v>22</v>
      </c>
      <c r="F1136" s="8">
        <v>5.25</v>
      </c>
      <c r="G1136" s="4">
        <v>17</v>
      </c>
      <c r="H1136" s="8">
        <v>4.22</v>
      </c>
      <c r="I1136" s="4">
        <v>0</v>
      </c>
    </row>
    <row r="1137" spans="1:9" x14ac:dyDescent="0.2">
      <c r="A1137" s="2">
        <v>8</v>
      </c>
      <c r="B1137" s="1" t="s">
        <v>99</v>
      </c>
      <c r="C1137" s="4">
        <v>31</v>
      </c>
      <c r="D1137" s="8">
        <v>3.75</v>
      </c>
      <c r="E1137" s="4">
        <v>4</v>
      </c>
      <c r="F1137" s="8">
        <v>0.95</v>
      </c>
      <c r="G1137" s="4">
        <v>27</v>
      </c>
      <c r="H1137" s="8">
        <v>6.7</v>
      </c>
      <c r="I1137" s="4">
        <v>0</v>
      </c>
    </row>
    <row r="1138" spans="1:9" x14ac:dyDescent="0.2">
      <c r="A1138" s="2">
        <v>8</v>
      </c>
      <c r="B1138" s="1" t="s">
        <v>104</v>
      </c>
      <c r="C1138" s="4">
        <v>31</v>
      </c>
      <c r="D1138" s="8">
        <v>3.75</v>
      </c>
      <c r="E1138" s="4">
        <v>22</v>
      </c>
      <c r="F1138" s="8">
        <v>5.25</v>
      </c>
      <c r="G1138" s="4">
        <v>9</v>
      </c>
      <c r="H1138" s="8">
        <v>2.23</v>
      </c>
      <c r="I1138" s="4">
        <v>0</v>
      </c>
    </row>
    <row r="1139" spans="1:9" x14ac:dyDescent="0.2">
      <c r="A1139" s="2">
        <v>10</v>
      </c>
      <c r="B1139" s="1" t="s">
        <v>105</v>
      </c>
      <c r="C1139" s="4">
        <v>30</v>
      </c>
      <c r="D1139" s="8">
        <v>3.63</v>
      </c>
      <c r="E1139" s="4">
        <v>14</v>
      </c>
      <c r="F1139" s="8">
        <v>3.34</v>
      </c>
      <c r="G1139" s="4">
        <v>16</v>
      </c>
      <c r="H1139" s="8">
        <v>3.97</v>
      </c>
      <c r="I1139" s="4">
        <v>0</v>
      </c>
    </row>
    <row r="1140" spans="1:9" x14ac:dyDescent="0.2">
      <c r="A1140" s="2">
        <v>11</v>
      </c>
      <c r="B1140" s="1" t="s">
        <v>113</v>
      </c>
      <c r="C1140" s="4">
        <v>28</v>
      </c>
      <c r="D1140" s="8">
        <v>3.39</v>
      </c>
      <c r="E1140" s="4">
        <v>24</v>
      </c>
      <c r="F1140" s="8">
        <v>5.73</v>
      </c>
      <c r="G1140" s="4">
        <v>3</v>
      </c>
      <c r="H1140" s="8">
        <v>0.74</v>
      </c>
      <c r="I1140" s="4">
        <v>1</v>
      </c>
    </row>
    <row r="1141" spans="1:9" x14ac:dyDescent="0.2">
      <c r="A1141" s="2">
        <v>12</v>
      </c>
      <c r="B1141" s="1" t="s">
        <v>115</v>
      </c>
      <c r="C1141" s="4">
        <v>26</v>
      </c>
      <c r="D1141" s="8">
        <v>3.15</v>
      </c>
      <c r="E1141" s="4">
        <v>22</v>
      </c>
      <c r="F1141" s="8">
        <v>5.25</v>
      </c>
      <c r="G1141" s="4">
        <v>4</v>
      </c>
      <c r="H1141" s="8">
        <v>0.99</v>
      </c>
      <c r="I1141" s="4">
        <v>0</v>
      </c>
    </row>
    <row r="1142" spans="1:9" x14ac:dyDescent="0.2">
      <c r="A1142" s="2">
        <v>13</v>
      </c>
      <c r="B1142" s="1" t="s">
        <v>110</v>
      </c>
      <c r="C1142" s="4">
        <v>22</v>
      </c>
      <c r="D1142" s="8">
        <v>2.66</v>
      </c>
      <c r="E1142" s="4">
        <v>8</v>
      </c>
      <c r="F1142" s="8">
        <v>1.91</v>
      </c>
      <c r="G1142" s="4">
        <v>14</v>
      </c>
      <c r="H1142" s="8">
        <v>3.47</v>
      </c>
      <c r="I1142" s="4">
        <v>0</v>
      </c>
    </row>
    <row r="1143" spans="1:9" x14ac:dyDescent="0.2">
      <c r="A1143" s="2">
        <v>14</v>
      </c>
      <c r="B1143" s="1" t="s">
        <v>109</v>
      </c>
      <c r="C1143" s="4">
        <v>20</v>
      </c>
      <c r="D1143" s="8">
        <v>2.42</v>
      </c>
      <c r="E1143" s="4">
        <v>10</v>
      </c>
      <c r="F1143" s="8">
        <v>2.39</v>
      </c>
      <c r="G1143" s="4">
        <v>10</v>
      </c>
      <c r="H1143" s="8">
        <v>2.48</v>
      </c>
      <c r="I1143" s="4">
        <v>0</v>
      </c>
    </row>
    <row r="1144" spans="1:9" x14ac:dyDescent="0.2">
      <c r="A1144" s="2">
        <v>15</v>
      </c>
      <c r="B1144" s="1" t="s">
        <v>118</v>
      </c>
      <c r="C1144" s="4">
        <v>14</v>
      </c>
      <c r="D1144" s="8">
        <v>1.69</v>
      </c>
      <c r="E1144" s="4">
        <v>1</v>
      </c>
      <c r="F1144" s="8">
        <v>0.24</v>
      </c>
      <c r="G1144" s="4">
        <v>12</v>
      </c>
      <c r="H1144" s="8">
        <v>2.98</v>
      </c>
      <c r="I1144" s="4">
        <v>0</v>
      </c>
    </row>
    <row r="1145" spans="1:9" x14ac:dyDescent="0.2">
      <c r="A1145" s="2">
        <v>16</v>
      </c>
      <c r="B1145" s="1" t="s">
        <v>107</v>
      </c>
      <c r="C1145" s="4">
        <v>13</v>
      </c>
      <c r="D1145" s="8">
        <v>1.57</v>
      </c>
      <c r="E1145" s="4">
        <v>1</v>
      </c>
      <c r="F1145" s="8">
        <v>0.24</v>
      </c>
      <c r="G1145" s="4">
        <v>12</v>
      </c>
      <c r="H1145" s="8">
        <v>2.98</v>
      </c>
      <c r="I1145" s="4">
        <v>0</v>
      </c>
    </row>
    <row r="1146" spans="1:9" x14ac:dyDescent="0.2">
      <c r="A1146" s="2">
        <v>17</v>
      </c>
      <c r="B1146" s="1" t="s">
        <v>116</v>
      </c>
      <c r="C1146" s="4">
        <v>12</v>
      </c>
      <c r="D1146" s="8">
        <v>1.45</v>
      </c>
      <c r="E1146" s="4">
        <v>7</v>
      </c>
      <c r="F1146" s="8">
        <v>1.67</v>
      </c>
      <c r="G1146" s="4">
        <v>5</v>
      </c>
      <c r="H1146" s="8">
        <v>1.24</v>
      </c>
      <c r="I1146" s="4">
        <v>0</v>
      </c>
    </row>
    <row r="1147" spans="1:9" x14ac:dyDescent="0.2">
      <c r="A1147" s="2">
        <v>18</v>
      </c>
      <c r="B1147" s="1" t="s">
        <v>101</v>
      </c>
      <c r="C1147" s="4">
        <v>11</v>
      </c>
      <c r="D1147" s="8">
        <v>1.33</v>
      </c>
      <c r="E1147" s="4">
        <v>1</v>
      </c>
      <c r="F1147" s="8">
        <v>0.24</v>
      </c>
      <c r="G1147" s="4">
        <v>10</v>
      </c>
      <c r="H1147" s="8">
        <v>2.48</v>
      </c>
      <c r="I1147" s="4">
        <v>0</v>
      </c>
    </row>
    <row r="1148" spans="1:9" x14ac:dyDescent="0.2">
      <c r="A1148" s="2">
        <v>19</v>
      </c>
      <c r="B1148" s="1" t="s">
        <v>100</v>
      </c>
      <c r="C1148" s="4">
        <v>10</v>
      </c>
      <c r="D1148" s="8">
        <v>1.21</v>
      </c>
      <c r="E1148" s="4">
        <v>3</v>
      </c>
      <c r="F1148" s="8">
        <v>0.72</v>
      </c>
      <c r="G1148" s="4">
        <v>7</v>
      </c>
      <c r="H1148" s="8">
        <v>1.74</v>
      </c>
      <c r="I1148" s="4">
        <v>0</v>
      </c>
    </row>
    <row r="1149" spans="1:9" x14ac:dyDescent="0.2">
      <c r="A1149" s="2">
        <v>19</v>
      </c>
      <c r="B1149" s="1" t="s">
        <v>120</v>
      </c>
      <c r="C1149" s="4">
        <v>10</v>
      </c>
      <c r="D1149" s="8">
        <v>1.21</v>
      </c>
      <c r="E1149" s="4">
        <v>0</v>
      </c>
      <c r="F1149" s="8">
        <v>0</v>
      </c>
      <c r="G1149" s="4">
        <v>10</v>
      </c>
      <c r="H1149" s="8">
        <v>2.48</v>
      </c>
      <c r="I1149" s="4">
        <v>0</v>
      </c>
    </row>
    <row r="1150" spans="1:9" x14ac:dyDescent="0.2">
      <c r="A1150" s="2">
        <v>19</v>
      </c>
      <c r="B1150" s="1" t="s">
        <v>117</v>
      </c>
      <c r="C1150" s="4">
        <v>10</v>
      </c>
      <c r="D1150" s="8">
        <v>1.21</v>
      </c>
      <c r="E1150" s="4">
        <v>1</v>
      </c>
      <c r="F1150" s="8">
        <v>0.24</v>
      </c>
      <c r="G1150" s="4">
        <v>9</v>
      </c>
      <c r="H1150" s="8">
        <v>2.23</v>
      </c>
      <c r="I1150" s="4">
        <v>0</v>
      </c>
    </row>
    <row r="1151" spans="1:9" x14ac:dyDescent="0.2">
      <c r="A1151" s="2">
        <v>19</v>
      </c>
      <c r="B1151" s="1" t="s">
        <v>103</v>
      </c>
      <c r="C1151" s="4">
        <v>10</v>
      </c>
      <c r="D1151" s="8">
        <v>1.21</v>
      </c>
      <c r="E1151" s="4">
        <v>4</v>
      </c>
      <c r="F1151" s="8">
        <v>0.95</v>
      </c>
      <c r="G1151" s="4">
        <v>6</v>
      </c>
      <c r="H1151" s="8">
        <v>1.49</v>
      </c>
      <c r="I1151" s="4">
        <v>0</v>
      </c>
    </row>
    <row r="1152" spans="1:9" x14ac:dyDescent="0.2">
      <c r="A1152" s="1"/>
      <c r="C1152" s="4"/>
      <c r="D1152" s="8"/>
      <c r="E1152" s="4"/>
      <c r="F1152" s="8"/>
      <c r="G1152" s="4"/>
      <c r="H1152" s="8"/>
      <c r="I1152" s="4"/>
    </row>
    <row r="1153" spans="1:9" x14ac:dyDescent="0.2">
      <c r="A1153" s="1" t="s">
        <v>51</v>
      </c>
      <c r="C1153" s="4"/>
      <c r="D1153" s="8"/>
      <c r="E1153" s="4"/>
      <c r="F1153" s="8"/>
      <c r="G1153" s="4"/>
      <c r="H1153" s="8"/>
      <c r="I1153" s="4"/>
    </row>
    <row r="1154" spans="1:9" x14ac:dyDescent="0.2">
      <c r="A1154" s="2">
        <v>1</v>
      </c>
      <c r="B1154" s="1" t="s">
        <v>112</v>
      </c>
      <c r="C1154" s="4">
        <v>62</v>
      </c>
      <c r="D1154" s="8">
        <v>8.49</v>
      </c>
      <c r="E1154" s="4">
        <v>57</v>
      </c>
      <c r="F1154" s="8">
        <v>19</v>
      </c>
      <c r="G1154" s="4">
        <v>5</v>
      </c>
      <c r="H1154" s="8">
        <v>1.2</v>
      </c>
      <c r="I1154" s="4">
        <v>0</v>
      </c>
    </row>
    <row r="1155" spans="1:9" x14ac:dyDescent="0.2">
      <c r="A1155" s="2">
        <v>2</v>
      </c>
      <c r="B1155" s="1" t="s">
        <v>97</v>
      </c>
      <c r="C1155" s="4">
        <v>52</v>
      </c>
      <c r="D1155" s="8">
        <v>7.12</v>
      </c>
      <c r="E1155" s="4">
        <v>9</v>
      </c>
      <c r="F1155" s="8">
        <v>3</v>
      </c>
      <c r="G1155" s="4">
        <v>43</v>
      </c>
      <c r="H1155" s="8">
        <v>10.34</v>
      </c>
      <c r="I1155" s="4">
        <v>0</v>
      </c>
    </row>
    <row r="1156" spans="1:9" x14ac:dyDescent="0.2">
      <c r="A1156" s="2">
        <v>3</v>
      </c>
      <c r="B1156" s="1" t="s">
        <v>98</v>
      </c>
      <c r="C1156" s="4">
        <v>49</v>
      </c>
      <c r="D1156" s="8">
        <v>6.71</v>
      </c>
      <c r="E1156" s="4">
        <v>18</v>
      </c>
      <c r="F1156" s="8">
        <v>6</v>
      </c>
      <c r="G1156" s="4">
        <v>31</v>
      </c>
      <c r="H1156" s="8">
        <v>7.45</v>
      </c>
      <c r="I1156" s="4">
        <v>0</v>
      </c>
    </row>
    <row r="1157" spans="1:9" x14ac:dyDescent="0.2">
      <c r="A1157" s="2">
        <v>4</v>
      </c>
      <c r="B1157" s="1" t="s">
        <v>111</v>
      </c>
      <c r="C1157" s="4">
        <v>48</v>
      </c>
      <c r="D1157" s="8">
        <v>6.58</v>
      </c>
      <c r="E1157" s="4">
        <v>42</v>
      </c>
      <c r="F1157" s="8">
        <v>14</v>
      </c>
      <c r="G1157" s="4">
        <v>6</v>
      </c>
      <c r="H1157" s="8">
        <v>1.44</v>
      </c>
      <c r="I1157" s="4">
        <v>0</v>
      </c>
    </row>
    <row r="1158" spans="1:9" x14ac:dyDescent="0.2">
      <c r="A1158" s="2">
        <v>5</v>
      </c>
      <c r="B1158" s="1" t="s">
        <v>99</v>
      </c>
      <c r="C1158" s="4">
        <v>46</v>
      </c>
      <c r="D1158" s="8">
        <v>6.3</v>
      </c>
      <c r="E1158" s="4">
        <v>8</v>
      </c>
      <c r="F1158" s="8">
        <v>2.67</v>
      </c>
      <c r="G1158" s="4">
        <v>38</v>
      </c>
      <c r="H1158" s="8">
        <v>9.1300000000000008</v>
      </c>
      <c r="I1158" s="4">
        <v>0</v>
      </c>
    </row>
    <row r="1159" spans="1:9" x14ac:dyDescent="0.2">
      <c r="A1159" s="2">
        <v>6</v>
      </c>
      <c r="B1159" s="1" t="s">
        <v>114</v>
      </c>
      <c r="C1159" s="4">
        <v>42</v>
      </c>
      <c r="D1159" s="8">
        <v>5.75</v>
      </c>
      <c r="E1159" s="4">
        <v>32</v>
      </c>
      <c r="F1159" s="8">
        <v>10.67</v>
      </c>
      <c r="G1159" s="4">
        <v>9</v>
      </c>
      <c r="H1159" s="8">
        <v>2.16</v>
      </c>
      <c r="I1159" s="4">
        <v>0</v>
      </c>
    </row>
    <row r="1160" spans="1:9" x14ac:dyDescent="0.2">
      <c r="A1160" s="2">
        <v>7</v>
      </c>
      <c r="B1160" s="1" t="s">
        <v>108</v>
      </c>
      <c r="C1160" s="4">
        <v>35</v>
      </c>
      <c r="D1160" s="8">
        <v>4.79</v>
      </c>
      <c r="E1160" s="4">
        <v>6</v>
      </c>
      <c r="F1160" s="8">
        <v>2</v>
      </c>
      <c r="G1160" s="4">
        <v>29</v>
      </c>
      <c r="H1160" s="8">
        <v>6.97</v>
      </c>
      <c r="I1160" s="4">
        <v>0</v>
      </c>
    </row>
    <row r="1161" spans="1:9" x14ac:dyDescent="0.2">
      <c r="A1161" s="2">
        <v>8</v>
      </c>
      <c r="B1161" s="1" t="s">
        <v>106</v>
      </c>
      <c r="C1161" s="4">
        <v>30</v>
      </c>
      <c r="D1161" s="8">
        <v>4.1100000000000003</v>
      </c>
      <c r="E1161" s="4">
        <v>12</v>
      </c>
      <c r="F1161" s="8">
        <v>4</v>
      </c>
      <c r="G1161" s="4">
        <v>18</v>
      </c>
      <c r="H1161" s="8">
        <v>4.33</v>
      </c>
      <c r="I1161" s="4">
        <v>0</v>
      </c>
    </row>
    <row r="1162" spans="1:9" x14ac:dyDescent="0.2">
      <c r="A1162" s="2">
        <v>9</v>
      </c>
      <c r="B1162" s="1" t="s">
        <v>105</v>
      </c>
      <c r="C1162" s="4">
        <v>28</v>
      </c>
      <c r="D1162" s="8">
        <v>3.84</v>
      </c>
      <c r="E1162" s="4">
        <v>8</v>
      </c>
      <c r="F1162" s="8">
        <v>2.67</v>
      </c>
      <c r="G1162" s="4">
        <v>20</v>
      </c>
      <c r="H1162" s="8">
        <v>4.8099999999999996</v>
      </c>
      <c r="I1162" s="4">
        <v>0</v>
      </c>
    </row>
    <row r="1163" spans="1:9" x14ac:dyDescent="0.2">
      <c r="A1163" s="2">
        <v>9</v>
      </c>
      <c r="B1163" s="1" t="s">
        <v>115</v>
      </c>
      <c r="C1163" s="4">
        <v>28</v>
      </c>
      <c r="D1163" s="8">
        <v>3.84</v>
      </c>
      <c r="E1163" s="4">
        <v>25</v>
      </c>
      <c r="F1163" s="8">
        <v>8.33</v>
      </c>
      <c r="G1163" s="4">
        <v>3</v>
      </c>
      <c r="H1163" s="8">
        <v>0.72</v>
      </c>
      <c r="I1163" s="4">
        <v>0</v>
      </c>
    </row>
    <row r="1164" spans="1:9" x14ac:dyDescent="0.2">
      <c r="A1164" s="2">
        <v>11</v>
      </c>
      <c r="B1164" s="1" t="s">
        <v>100</v>
      </c>
      <c r="C1164" s="4">
        <v>25</v>
      </c>
      <c r="D1164" s="8">
        <v>3.42</v>
      </c>
      <c r="E1164" s="4">
        <v>7</v>
      </c>
      <c r="F1164" s="8">
        <v>2.33</v>
      </c>
      <c r="G1164" s="4">
        <v>18</v>
      </c>
      <c r="H1164" s="8">
        <v>4.33</v>
      </c>
      <c r="I1164" s="4">
        <v>0</v>
      </c>
    </row>
    <row r="1165" spans="1:9" x14ac:dyDescent="0.2">
      <c r="A1165" s="2">
        <v>12</v>
      </c>
      <c r="B1165" s="1" t="s">
        <v>104</v>
      </c>
      <c r="C1165" s="4">
        <v>24</v>
      </c>
      <c r="D1165" s="8">
        <v>3.29</v>
      </c>
      <c r="E1165" s="4">
        <v>19</v>
      </c>
      <c r="F1165" s="8">
        <v>6.33</v>
      </c>
      <c r="G1165" s="4">
        <v>5</v>
      </c>
      <c r="H1165" s="8">
        <v>1.2</v>
      </c>
      <c r="I1165" s="4">
        <v>0</v>
      </c>
    </row>
    <row r="1166" spans="1:9" x14ac:dyDescent="0.2">
      <c r="A1166" s="2">
        <v>13</v>
      </c>
      <c r="B1166" s="1" t="s">
        <v>120</v>
      </c>
      <c r="C1166" s="4">
        <v>22</v>
      </c>
      <c r="D1166" s="8">
        <v>3.01</v>
      </c>
      <c r="E1166" s="4">
        <v>4</v>
      </c>
      <c r="F1166" s="8">
        <v>1.33</v>
      </c>
      <c r="G1166" s="4">
        <v>18</v>
      </c>
      <c r="H1166" s="8">
        <v>4.33</v>
      </c>
      <c r="I1166" s="4">
        <v>0</v>
      </c>
    </row>
    <row r="1167" spans="1:9" x14ac:dyDescent="0.2">
      <c r="A1167" s="2">
        <v>14</v>
      </c>
      <c r="B1167" s="1" t="s">
        <v>110</v>
      </c>
      <c r="C1167" s="4">
        <v>15</v>
      </c>
      <c r="D1167" s="8">
        <v>2.0499999999999998</v>
      </c>
      <c r="E1167" s="4">
        <v>5</v>
      </c>
      <c r="F1167" s="8">
        <v>1.67</v>
      </c>
      <c r="G1167" s="4">
        <v>10</v>
      </c>
      <c r="H1167" s="8">
        <v>2.4</v>
      </c>
      <c r="I1167" s="4">
        <v>0</v>
      </c>
    </row>
    <row r="1168" spans="1:9" x14ac:dyDescent="0.2">
      <c r="A1168" s="2">
        <v>14</v>
      </c>
      <c r="B1168" s="1" t="s">
        <v>118</v>
      </c>
      <c r="C1168" s="4">
        <v>15</v>
      </c>
      <c r="D1168" s="8">
        <v>2.0499999999999998</v>
      </c>
      <c r="E1168" s="4">
        <v>0</v>
      </c>
      <c r="F1168" s="8">
        <v>0</v>
      </c>
      <c r="G1168" s="4">
        <v>2</v>
      </c>
      <c r="H1168" s="8">
        <v>0.48</v>
      </c>
      <c r="I1168" s="4">
        <v>0</v>
      </c>
    </row>
    <row r="1169" spans="1:9" x14ac:dyDescent="0.2">
      <c r="A1169" s="2">
        <v>16</v>
      </c>
      <c r="B1169" s="1" t="s">
        <v>102</v>
      </c>
      <c r="C1169" s="4">
        <v>14</v>
      </c>
      <c r="D1169" s="8">
        <v>1.92</v>
      </c>
      <c r="E1169" s="4">
        <v>2</v>
      </c>
      <c r="F1169" s="8">
        <v>0.67</v>
      </c>
      <c r="G1169" s="4">
        <v>12</v>
      </c>
      <c r="H1169" s="8">
        <v>2.88</v>
      </c>
      <c r="I1169" s="4">
        <v>0</v>
      </c>
    </row>
    <row r="1170" spans="1:9" x14ac:dyDescent="0.2">
      <c r="A1170" s="2">
        <v>16</v>
      </c>
      <c r="B1170" s="1" t="s">
        <v>116</v>
      </c>
      <c r="C1170" s="4">
        <v>14</v>
      </c>
      <c r="D1170" s="8">
        <v>1.92</v>
      </c>
      <c r="E1170" s="4">
        <v>6</v>
      </c>
      <c r="F1170" s="8">
        <v>2</v>
      </c>
      <c r="G1170" s="4">
        <v>8</v>
      </c>
      <c r="H1170" s="8">
        <v>1.92</v>
      </c>
      <c r="I1170" s="4">
        <v>0</v>
      </c>
    </row>
    <row r="1171" spans="1:9" x14ac:dyDescent="0.2">
      <c r="A1171" s="2">
        <v>18</v>
      </c>
      <c r="B1171" s="1" t="s">
        <v>128</v>
      </c>
      <c r="C1171" s="4">
        <v>11</v>
      </c>
      <c r="D1171" s="8">
        <v>1.51</v>
      </c>
      <c r="E1171" s="4">
        <v>2</v>
      </c>
      <c r="F1171" s="8">
        <v>0.67</v>
      </c>
      <c r="G1171" s="4">
        <v>9</v>
      </c>
      <c r="H1171" s="8">
        <v>2.16</v>
      </c>
      <c r="I1171" s="4">
        <v>0</v>
      </c>
    </row>
    <row r="1172" spans="1:9" x14ac:dyDescent="0.2">
      <c r="A1172" s="2">
        <v>18</v>
      </c>
      <c r="B1172" s="1" t="s">
        <v>101</v>
      </c>
      <c r="C1172" s="4">
        <v>11</v>
      </c>
      <c r="D1172" s="8">
        <v>1.51</v>
      </c>
      <c r="E1172" s="4">
        <v>3</v>
      </c>
      <c r="F1172" s="8">
        <v>1</v>
      </c>
      <c r="G1172" s="4">
        <v>8</v>
      </c>
      <c r="H1172" s="8">
        <v>1.92</v>
      </c>
      <c r="I1172" s="4">
        <v>0</v>
      </c>
    </row>
    <row r="1173" spans="1:9" x14ac:dyDescent="0.2">
      <c r="A1173" s="2">
        <v>20</v>
      </c>
      <c r="B1173" s="1" t="s">
        <v>125</v>
      </c>
      <c r="C1173" s="4">
        <v>10</v>
      </c>
      <c r="D1173" s="8">
        <v>1.37</v>
      </c>
      <c r="E1173" s="4">
        <v>4</v>
      </c>
      <c r="F1173" s="8">
        <v>1.33</v>
      </c>
      <c r="G1173" s="4">
        <v>6</v>
      </c>
      <c r="H1173" s="8">
        <v>1.44</v>
      </c>
      <c r="I1173" s="4">
        <v>0</v>
      </c>
    </row>
    <row r="1174" spans="1:9" x14ac:dyDescent="0.2">
      <c r="A1174" s="2">
        <v>20</v>
      </c>
      <c r="B1174" s="1" t="s">
        <v>113</v>
      </c>
      <c r="C1174" s="4">
        <v>10</v>
      </c>
      <c r="D1174" s="8">
        <v>1.37</v>
      </c>
      <c r="E1174" s="4">
        <v>3</v>
      </c>
      <c r="F1174" s="8">
        <v>1</v>
      </c>
      <c r="G1174" s="4">
        <v>7</v>
      </c>
      <c r="H1174" s="8">
        <v>1.68</v>
      </c>
      <c r="I1174" s="4">
        <v>0</v>
      </c>
    </row>
    <row r="1175" spans="1:9" x14ac:dyDescent="0.2">
      <c r="A1175" s="1"/>
      <c r="C1175" s="4"/>
      <c r="D1175" s="8"/>
      <c r="E1175" s="4"/>
      <c r="F1175" s="8"/>
      <c r="G1175" s="4"/>
      <c r="H1175" s="8"/>
      <c r="I1175" s="4"/>
    </row>
    <row r="1176" spans="1:9" x14ac:dyDescent="0.2">
      <c r="A1176" s="1" t="s">
        <v>52</v>
      </c>
      <c r="C1176" s="4"/>
      <c r="D1176" s="8"/>
      <c r="E1176" s="4"/>
      <c r="F1176" s="8"/>
      <c r="G1176" s="4"/>
      <c r="H1176" s="8"/>
      <c r="I1176" s="4"/>
    </row>
    <row r="1177" spans="1:9" x14ac:dyDescent="0.2">
      <c r="A1177" s="2">
        <v>1</v>
      </c>
      <c r="B1177" s="1" t="s">
        <v>108</v>
      </c>
      <c r="C1177" s="4">
        <v>115</v>
      </c>
      <c r="D1177" s="8">
        <v>14.5</v>
      </c>
      <c r="E1177" s="4">
        <v>5</v>
      </c>
      <c r="F1177" s="8">
        <v>2.84</v>
      </c>
      <c r="G1177" s="4">
        <v>110</v>
      </c>
      <c r="H1177" s="8">
        <v>18.09</v>
      </c>
      <c r="I1177" s="4">
        <v>0</v>
      </c>
    </row>
    <row r="1178" spans="1:9" x14ac:dyDescent="0.2">
      <c r="A1178" s="2">
        <v>2</v>
      </c>
      <c r="B1178" s="1" t="s">
        <v>98</v>
      </c>
      <c r="C1178" s="4">
        <v>63</v>
      </c>
      <c r="D1178" s="8">
        <v>7.94</v>
      </c>
      <c r="E1178" s="4">
        <v>9</v>
      </c>
      <c r="F1178" s="8">
        <v>5.1100000000000003</v>
      </c>
      <c r="G1178" s="4">
        <v>54</v>
      </c>
      <c r="H1178" s="8">
        <v>8.8800000000000008</v>
      </c>
      <c r="I1178" s="4">
        <v>0</v>
      </c>
    </row>
    <row r="1179" spans="1:9" x14ac:dyDescent="0.2">
      <c r="A1179" s="2">
        <v>3</v>
      </c>
      <c r="B1179" s="1" t="s">
        <v>97</v>
      </c>
      <c r="C1179" s="4">
        <v>48</v>
      </c>
      <c r="D1179" s="8">
        <v>6.05</v>
      </c>
      <c r="E1179" s="4">
        <v>9</v>
      </c>
      <c r="F1179" s="8">
        <v>5.1100000000000003</v>
      </c>
      <c r="G1179" s="4">
        <v>39</v>
      </c>
      <c r="H1179" s="8">
        <v>6.41</v>
      </c>
      <c r="I1179" s="4">
        <v>0</v>
      </c>
    </row>
    <row r="1180" spans="1:9" x14ac:dyDescent="0.2">
      <c r="A1180" s="2">
        <v>4</v>
      </c>
      <c r="B1180" s="1" t="s">
        <v>99</v>
      </c>
      <c r="C1180" s="4">
        <v>40</v>
      </c>
      <c r="D1180" s="8">
        <v>5.04</v>
      </c>
      <c r="E1180" s="4">
        <v>1</v>
      </c>
      <c r="F1180" s="8">
        <v>0.56999999999999995</v>
      </c>
      <c r="G1180" s="4">
        <v>39</v>
      </c>
      <c r="H1180" s="8">
        <v>6.41</v>
      </c>
      <c r="I1180" s="4">
        <v>0</v>
      </c>
    </row>
    <row r="1181" spans="1:9" x14ac:dyDescent="0.2">
      <c r="A1181" s="2">
        <v>5</v>
      </c>
      <c r="B1181" s="1" t="s">
        <v>112</v>
      </c>
      <c r="C1181" s="4">
        <v>39</v>
      </c>
      <c r="D1181" s="8">
        <v>4.92</v>
      </c>
      <c r="E1181" s="4">
        <v>33</v>
      </c>
      <c r="F1181" s="8">
        <v>18.75</v>
      </c>
      <c r="G1181" s="4">
        <v>6</v>
      </c>
      <c r="H1181" s="8">
        <v>0.99</v>
      </c>
      <c r="I1181" s="4">
        <v>0</v>
      </c>
    </row>
    <row r="1182" spans="1:9" x14ac:dyDescent="0.2">
      <c r="A1182" s="2">
        <v>6</v>
      </c>
      <c r="B1182" s="1" t="s">
        <v>106</v>
      </c>
      <c r="C1182" s="4">
        <v>28</v>
      </c>
      <c r="D1182" s="8">
        <v>3.53</v>
      </c>
      <c r="E1182" s="4">
        <v>10</v>
      </c>
      <c r="F1182" s="8">
        <v>5.68</v>
      </c>
      <c r="G1182" s="4">
        <v>18</v>
      </c>
      <c r="H1182" s="8">
        <v>2.96</v>
      </c>
      <c r="I1182" s="4">
        <v>0</v>
      </c>
    </row>
    <row r="1183" spans="1:9" x14ac:dyDescent="0.2">
      <c r="A1183" s="2">
        <v>6</v>
      </c>
      <c r="B1183" s="1" t="s">
        <v>111</v>
      </c>
      <c r="C1183" s="4">
        <v>28</v>
      </c>
      <c r="D1183" s="8">
        <v>3.53</v>
      </c>
      <c r="E1183" s="4">
        <v>22</v>
      </c>
      <c r="F1183" s="8">
        <v>12.5</v>
      </c>
      <c r="G1183" s="4">
        <v>6</v>
      </c>
      <c r="H1183" s="8">
        <v>0.99</v>
      </c>
      <c r="I1183" s="4">
        <v>0</v>
      </c>
    </row>
    <row r="1184" spans="1:9" x14ac:dyDescent="0.2">
      <c r="A1184" s="2">
        <v>8</v>
      </c>
      <c r="B1184" s="1" t="s">
        <v>120</v>
      </c>
      <c r="C1184" s="4">
        <v>26</v>
      </c>
      <c r="D1184" s="8">
        <v>3.28</v>
      </c>
      <c r="E1184" s="4">
        <v>3</v>
      </c>
      <c r="F1184" s="8">
        <v>1.7</v>
      </c>
      <c r="G1184" s="4">
        <v>23</v>
      </c>
      <c r="H1184" s="8">
        <v>3.78</v>
      </c>
      <c r="I1184" s="4">
        <v>0</v>
      </c>
    </row>
    <row r="1185" spans="1:9" x14ac:dyDescent="0.2">
      <c r="A1185" s="2">
        <v>9</v>
      </c>
      <c r="B1185" s="1" t="s">
        <v>100</v>
      </c>
      <c r="C1185" s="4">
        <v>25</v>
      </c>
      <c r="D1185" s="8">
        <v>3.15</v>
      </c>
      <c r="E1185" s="4">
        <v>2</v>
      </c>
      <c r="F1185" s="8">
        <v>1.1399999999999999</v>
      </c>
      <c r="G1185" s="4">
        <v>23</v>
      </c>
      <c r="H1185" s="8">
        <v>3.78</v>
      </c>
      <c r="I1185" s="4">
        <v>0</v>
      </c>
    </row>
    <row r="1186" spans="1:9" x14ac:dyDescent="0.2">
      <c r="A1186" s="2">
        <v>10</v>
      </c>
      <c r="B1186" s="1" t="s">
        <v>128</v>
      </c>
      <c r="C1186" s="4">
        <v>23</v>
      </c>
      <c r="D1186" s="8">
        <v>2.9</v>
      </c>
      <c r="E1186" s="4">
        <v>6</v>
      </c>
      <c r="F1186" s="8">
        <v>3.41</v>
      </c>
      <c r="G1186" s="4">
        <v>17</v>
      </c>
      <c r="H1186" s="8">
        <v>2.8</v>
      </c>
      <c r="I1186" s="4">
        <v>0</v>
      </c>
    </row>
    <row r="1187" spans="1:9" x14ac:dyDescent="0.2">
      <c r="A1187" s="2">
        <v>10</v>
      </c>
      <c r="B1187" s="1" t="s">
        <v>105</v>
      </c>
      <c r="C1187" s="4">
        <v>23</v>
      </c>
      <c r="D1187" s="8">
        <v>2.9</v>
      </c>
      <c r="E1187" s="4">
        <v>8</v>
      </c>
      <c r="F1187" s="8">
        <v>4.55</v>
      </c>
      <c r="G1187" s="4">
        <v>15</v>
      </c>
      <c r="H1187" s="8">
        <v>2.4700000000000002</v>
      </c>
      <c r="I1187" s="4">
        <v>0</v>
      </c>
    </row>
    <row r="1188" spans="1:9" x14ac:dyDescent="0.2">
      <c r="A1188" s="2">
        <v>12</v>
      </c>
      <c r="B1188" s="1" t="s">
        <v>114</v>
      </c>
      <c r="C1188" s="4">
        <v>19</v>
      </c>
      <c r="D1188" s="8">
        <v>2.4</v>
      </c>
      <c r="E1188" s="4">
        <v>10</v>
      </c>
      <c r="F1188" s="8">
        <v>5.68</v>
      </c>
      <c r="G1188" s="4">
        <v>6</v>
      </c>
      <c r="H1188" s="8">
        <v>0.99</v>
      </c>
      <c r="I1188" s="4">
        <v>0</v>
      </c>
    </row>
    <row r="1189" spans="1:9" x14ac:dyDescent="0.2">
      <c r="A1189" s="2">
        <v>13</v>
      </c>
      <c r="B1189" s="1" t="s">
        <v>130</v>
      </c>
      <c r="C1189" s="4">
        <v>18</v>
      </c>
      <c r="D1189" s="8">
        <v>2.27</v>
      </c>
      <c r="E1189" s="4">
        <v>3</v>
      </c>
      <c r="F1189" s="8">
        <v>1.7</v>
      </c>
      <c r="G1189" s="4">
        <v>15</v>
      </c>
      <c r="H1189" s="8">
        <v>2.4700000000000002</v>
      </c>
      <c r="I1189" s="4">
        <v>0</v>
      </c>
    </row>
    <row r="1190" spans="1:9" x14ac:dyDescent="0.2">
      <c r="A1190" s="2">
        <v>13</v>
      </c>
      <c r="B1190" s="1" t="s">
        <v>116</v>
      </c>
      <c r="C1190" s="4">
        <v>18</v>
      </c>
      <c r="D1190" s="8">
        <v>2.27</v>
      </c>
      <c r="E1190" s="4">
        <v>6</v>
      </c>
      <c r="F1190" s="8">
        <v>3.41</v>
      </c>
      <c r="G1190" s="4">
        <v>12</v>
      </c>
      <c r="H1190" s="8">
        <v>1.97</v>
      </c>
      <c r="I1190" s="4">
        <v>0</v>
      </c>
    </row>
    <row r="1191" spans="1:9" x14ac:dyDescent="0.2">
      <c r="A1191" s="2">
        <v>15</v>
      </c>
      <c r="B1191" s="1" t="s">
        <v>131</v>
      </c>
      <c r="C1191" s="4">
        <v>16</v>
      </c>
      <c r="D1191" s="8">
        <v>2.02</v>
      </c>
      <c r="E1191" s="4">
        <v>1</v>
      </c>
      <c r="F1191" s="8">
        <v>0.56999999999999995</v>
      </c>
      <c r="G1191" s="4">
        <v>15</v>
      </c>
      <c r="H1191" s="8">
        <v>2.4700000000000002</v>
      </c>
      <c r="I1191" s="4">
        <v>0</v>
      </c>
    </row>
    <row r="1192" spans="1:9" x14ac:dyDescent="0.2">
      <c r="A1192" s="2">
        <v>16</v>
      </c>
      <c r="B1192" s="1" t="s">
        <v>102</v>
      </c>
      <c r="C1192" s="4">
        <v>15</v>
      </c>
      <c r="D1192" s="8">
        <v>1.89</v>
      </c>
      <c r="E1192" s="4">
        <v>1</v>
      </c>
      <c r="F1192" s="8">
        <v>0.56999999999999995</v>
      </c>
      <c r="G1192" s="4">
        <v>14</v>
      </c>
      <c r="H1192" s="8">
        <v>2.2999999999999998</v>
      </c>
      <c r="I1192" s="4">
        <v>0</v>
      </c>
    </row>
    <row r="1193" spans="1:9" x14ac:dyDescent="0.2">
      <c r="A1193" s="2">
        <v>17</v>
      </c>
      <c r="B1193" s="1" t="s">
        <v>101</v>
      </c>
      <c r="C1193" s="4">
        <v>13</v>
      </c>
      <c r="D1193" s="8">
        <v>1.64</v>
      </c>
      <c r="E1193" s="4">
        <v>1</v>
      </c>
      <c r="F1193" s="8">
        <v>0.56999999999999995</v>
      </c>
      <c r="G1193" s="4">
        <v>12</v>
      </c>
      <c r="H1193" s="8">
        <v>1.97</v>
      </c>
      <c r="I1193" s="4">
        <v>0</v>
      </c>
    </row>
    <row r="1194" spans="1:9" x14ac:dyDescent="0.2">
      <c r="A1194" s="2">
        <v>17</v>
      </c>
      <c r="B1194" s="1" t="s">
        <v>115</v>
      </c>
      <c r="C1194" s="4">
        <v>13</v>
      </c>
      <c r="D1194" s="8">
        <v>1.64</v>
      </c>
      <c r="E1194" s="4">
        <v>12</v>
      </c>
      <c r="F1194" s="8">
        <v>6.82</v>
      </c>
      <c r="G1194" s="4">
        <v>1</v>
      </c>
      <c r="H1194" s="8">
        <v>0.16</v>
      </c>
      <c r="I1194" s="4">
        <v>0</v>
      </c>
    </row>
    <row r="1195" spans="1:9" x14ac:dyDescent="0.2">
      <c r="A1195" s="2">
        <v>17</v>
      </c>
      <c r="B1195" s="1" t="s">
        <v>118</v>
      </c>
      <c r="C1195" s="4">
        <v>13</v>
      </c>
      <c r="D1195" s="8">
        <v>1.64</v>
      </c>
      <c r="E1195" s="4">
        <v>0</v>
      </c>
      <c r="F1195" s="8">
        <v>0</v>
      </c>
      <c r="G1195" s="4">
        <v>8</v>
      </c>
      <c r="H1195" s="8">
        <v>1.32</v>
      </c>
      <c r="I1195" s="4">
        <v>0</v>
      </c>
    </row>
    <row r="1196" spans="1:9" x14ac:dyDescent="0.2">
      <c r="A1196" s="2">
        <v>17</v>
      </c>
      <c r="B1196" s="1" t="s">
        <v>119</v>
      </c>
      <c r="C1196" s="4">
        <v>13</v>
      </c>
      <c r="D1196" s="8">
        <v>1.64</v>
      </c>
      <c r="E1196" s="4">
        <v>0</v>
      </c>
      <c r="F1196" s="8">
        <v>0</v>
      </c>
      <c r="G1196" s="4">
        <v>13</v>
      </c>
      <c r="H1196" s="8">
        <v>2.14</v>
      </c>
      <c r="I1196" s="4">
        <v>0</v>
      </c>
    </row>
    <row r="1197" spans="1:9" x14ac:dyDescent="0.2">
      <c r="A1197" s="1"/>
      <c r="C1197" s="4"/>
      <c r="D1197" s="8"/>
      <c r="E1197" s="4"/>
      <c r="F1197" s="8"/>
      <c r="G1197" s="4"/>
      <c r="H1197" s="8"/>
      <c r="I1197" s="4"/>
    </row>
    <row r="1198" spans="1:9" x14ac:dyDescent="0.2">
      <c r="A1198" s="1" t="s">
        <v>53</v>
      </c>
      <c r="C1198" s="4"/>
      <c r="D1198" s="8"/>
      <c r="E1198" s="4"/>
      <c r="F1198" s="8"/>
      <c r="G1198" s="4"/>
      <c r="H1198" s="8"/>
      <c r="I1198" s="4"/>
    </row>
    <row r="1199" spans="1:9" x14ac:dyDescent="0.2">
      <c r="A1199" s="2">
        <v>1</v>
      </c>
      <c r="B1199" s="1" t="s">
        <v>111</v>
      </c>
      <c r="C1199" s="4">
        <v>108</v>
      </c>
      <c r="D1199" s="8">
        <v>15.91</v>
      </c>
      <c r="E1199" s="4">
        <v>98</v>
      </c>
      <c r="F1199" s="8">
        <v>26.06</v>
      </c>
      <c r="G1199" s="4">
        <v>10</v>
      </c>
      <c r="H1199" s="8">
        <v>3.33</v>
      </c>
      <c r="I1199" s="4">
        <v>0</v>
      </c>
    </row>
    <row r="1200" spans="1:9" x14ac:dyDescent="0.2">
      <c r="A1200" s="2">
        <v>2</v>
      </c>
      <c r="B1200" s="1" t="s">
        <v>112</v>
      </c>
      <c r="C1200" s="4">
        <v>74</v>
      </c>
      <c r="D1200" s="8">
        <v>10.9</v>
      </c>
      <c r="E1200" s="4">
        <v>67</v>
      </c>
      <c r="F1200" s="8">
        <v>17.82</v>
      </c>
      <c r="G1200" s="4">
        <v>7</v>
      </c>
      <c r="H1200" s="8">
        <v>2.33</v>
      </c>
      <c r="I1200" s="4">
        <v>0</v>
      </c>
    </row>
    <row r="1201" spans="1:9" x14ac:dyDescent="0.2">
      <c r="A1201" s="2">
        <v>3</v>
      </c>
      <c r="B1201" s="1" t="s">
        <v>98</v>
      </c>
      <c r="C1201" s="4">
        <v>55</v>
      </c>
      <c r="D1201" s="8">
        <v>8.1</v>
      </c>
      <c r="E1201" s="4">
        <v>24</v>
      </c>
      <c r="F1201" s="8">
        <v>6.38</v>
      </c>
      <c r="G1201" s="4">
        <v>31</v>
      </c>
      <c r="H1201" s="8">
        <v>10.33</v>
      </c>
      <c r="I1201" s="4">
        <v>0</v>
      </c>
    </row>
    <row r="1202" spans="1:9" x14ac:dyDescent="0.2">
      <c r="A1202" s="2">
        <v>4</v>
      </c>
      <c r="B1202" s="1" t="s">
        <v>97</v>
      </c>
      <c r="C1202" s="4">
        <v>38</v>
      </c>
      <c r="D1202" s="8">
        <v>5.6</v>
      </c>
      <c r="E1202" s="4">
        <v>9</v>
      </c>
      <c r="F1202" s="8">
        <v>2.39</v>
      </c>
      <c r="G1202" s="4">
        <v>29</v>
      </c>
      <c r="H1202" s="8">
        <v>9.67</v>
      </c>
      <c r="I1202" s="4">
        <v>0</v>
      </c>
    </row>
    <row r="1203" spans="1:9" x14ac:dyDescent="0.2">
      <c r="A1203" s="2">
        <v>4</v>
      </c>
      <c r="B1203" s="1" t="s">
        <v>104</v>
      </c>
      <c r="C1203" s="4">
        <v>38</v>
      </c>
      <c r="D1203" s="8">
        <v>5.6</v>
      </c>
      <c r="E1203" s="4">
        <v>27</v>
      </c>
      <c r="F1203" s="8">
        <v>7.18</v>
      </c>
      <c r="G1203" s="4">
        <v>11</v>
      </c>
      <c r="H1203" s="8">
        <v>3.67</v>
      </c>
      <c r="I1203" s="4">
        <v>0</v>
      </c>
    </row>
    <row r="1204" spans="1:9" x14ac:dyDescent="0.2">
      <c r="A1204" s="2">
        <v>6</v>
      </c>
      <c r="B1204" s="1" t="s">
        <v>106</v>
      </c>
      <c r="C1204" s="4">
        <v>36</v>
      </c>
      <c r="D1204" s="8">
        <v>5.3</v>
      </c>
      <c r="E1204" s="4">
        <v>16</v>
      </c>
      <c r="F1204" s="8">
        <v>4.26</v>
      </c>
      <c r="G1204" s="4">
        <v>20</v>
      </c>
      <c r="H1204" s="8">
        <v>6.67</v>
      </c>
      <c r="I1204" s="4">
        <v>0</v>
      </c>
    </row>
    <row r="1205" spans="1:9" x14ac:dyDescent="0.2">
      <c r="A1205" s="2">
        <v>7</v>
      </c>
      <c r="B1205" s="1" t="s">
        <v>115</v>
      </c>
      <c r="C1205" s="4">
        <v>26</v>
      </c>
      <c r="D1205" s="8">
        <v>3.83</v>
      </c>
      <c r="E1205" s="4">
        <v>20</v>
      </c>
      <c r="F1205" s="8">
        <v>5.32</v>
      </c>
      <c r="G1205" s="4">
        <v>6</v>
      </c>
      <c r="H1205" s="8">
        <v>2</v>
      </c>
      <c r="I1205" s="4">
        <v>0</v>
      </c>
    </row>
    <row r="1206" spans="1:9" x14ac:dyDescent="0.2">
      <c r="A1206" s="2">
        <v>8</v>
      </c>
      <c r="B1206" s="1" t="s">
        <v>108</v>
      </c>
      <c r="C1206" s="4">
        <v>25</v>
      </c>
      <c r="D1206" s="8">
        <v>3.68</v>
      </c>
      <c r="E1206" s="4">
        <v>12</v>
      </c>
      <c r="F1206" s="8">
        <v>3.19</v>
      </c>
      <c r="G1206" s="4">
        <v>13</v>
      </c>
      <c r="H1206" s="8">
        <v>4.33</v>
      </c>
      <c r="I1206" s="4">
        <v>0</v>
      </c>
    </row>
    <row r="1207" spans="1:9" x14ac:dyDescent="0.2">
      <c r="A1207" s="2">
        <v>9</v>
      </c>
      <c r="B1207" s="1" t="s">
        <v>114</v>
      </c>
      <c r="C1207" s="4">
        <v>22</v>
      </c>
      <c r="D1207" s="8">
        <v>3.24</v>
      </c>
      <c r="E1207" s="4">
        <v>16</v>
      </c>
      <c r="F1207" s="8">
        <v>4.26</v>
      </c>
      <c r="G1207" s="4">
        <v>6</v>
      </c>
      <c r="H1207" s="8">
        <v>2</v>
      </c>
      <c r="I1207" s="4">
        <v>0</v>
      </c>
    </row>
    <row r="1208" spans="1:9" x14ac:dyDescent="0.2">
      <c r="A1208" s="2">
        <v>10</v>
      </c>
      <c r="B1208" s="1" t="s">
        <v>105</v>
      </c>
      <c r="C1208" s="4">
        <v>21</v>
      </c>
      <c r="D1208" s="8">
        <v>3.09</v>
      </c>
      <c r="E1208" s="4">
        <v>13</v>
      </c>
      <c r="F1208" s="8">
        <v>3.46</v>
      </c>
      <c r="G1208" s="4">
        <v>8</v>
      </c>
      <c r="H1208" s="8">
        <v>2.67</v>
      </c>
      <c r="I1208" s="4">
        <v>0</v>
      </c>
    </row>
    <row r="1209" spans="1:9" x14ac:dyDescent="0.2">
      <c r="A1209" s="2">
        <v>11</v>
      </c>
      <c r="B1209" s="1" t="s">
        <v>113</v>
      </c>
      <c r="C1209" s="4">
        <v>20</v>
      </c>
      <c r="D1209" s="8">
        <v>2.95</v>
      </c>
      <c r="E1209" s="4">
        <v>9</v>
      </c>
      <c r="F1209" s="8">
        <v>2.39</v>
      </c>
      <c r="G1209" s="4">
        <v>11</v>
      </c>
      <c r="H1209" s="8">
        <v>3.67</v>
      </c>
      <c r="I1209" s="4">
        <v>0</v>
      </c>
    </row>
    <row r="1210" spans="1:9" x14ac:dyDescent="0.2">
      <c r="A1210" s="2">
        <v>12</v>
      </c>
      <c r="B1210" s="1" t="s">
        <v>99</v>
      </c>
      <c r="C1210" s="4">
        <v>18</v>
      </c>
      <c r="D1210" s="8">
        <v>2.65</v>
      </c>
      <c r="E1210" s="4">
        <v>1</v>
      </c>
      <c r="F1210" s="8">
        <v>0.27</v>
      </c>
      <c r="G1210" s="4">
        <v>17</v>
      </c>
      <c r="H1210" s="8">
        <v>5.67</v>
      </c>
      <c r="I1210" s="4">
        <v>0</v>
      </c>
    </row>
    <row r="1211" spans="1:9" x14ac:dyDescent="0.2">
      <c r="A1211" s="2">
        <v>13</v>
      </c>
      <c r="B1211" s="1" t="s">
        <v>107</v>
      </c>
      <c r="C1211" s="4">
        <v>13</v>
      </c>
      <c r="D1211" s="8">
        <v>1.91</v>
      </c>
      <c r="E1211" s="4">
        <v>3</v>
      </c>
      <c r="F1211" s="8">
        <v>0.8</v>
      </c>
      <c r="G1211" s="4">
        <v>10</v>
      </c>
      <c r="H1211" s="8">
        <v>3.33</v>
      </c>
      <c r="I1211" s="4">
        <v>0</v>
      </c>
    </row>
    <row r="1212" spans="1:9" x14ac:dyDescent="0.2">
      <c r="A1212" s="2">
        <v>13</v>
      </c>
      <c r="B1212" s="1" t="s">
        <v>110</v>
      </c>
      <c r="C1212" s="4">
        <v>13</v>
      </c>
      <c r="D1212" s="8">
        <v>1.91</v>
      </c>
      <c r="E1212" s="4">
        <v>4</v>
      </c>
      <c r="F1212" s="8">
        <v>1.06</v>
      </c>
      <c r="G1212" s="4">
        <v>9</v>
      </c>
      <c r="H1212" s="8">
        <v>3</v>
      </c>
      <c r="I1212" s="4">
        <v>0</v>
      </c>
    </row>
    <row r="1213" spans="1:9" x14ac:dyDescent="0.2">
      <c r="A1213" s="2">
        <v>13</v>
      </c>
      <c r="B1213" s="1" t="s">
        <v>116</v>
      </c>
      <c r="C1213" s="4">
        <v>13</v>
      </c>
      <c r="D1213" s="8">
        <v>1.91</v>
      </c>
      <c r="E1213" s="4">
        <v>9</v>
      </c>
      <c r="F1213" s="8">
        <v>2.39</v>
      </c>
      <c r="G1213" s="4">
        <v>4</v>
      </c>
      <c r="H1213" s="8">
        <v>1.33</v>
      </c>
      <c r="I1213" s="4">
        <v>0</v>
      </c>
    </row>
    <row r="1214" spans="1:9" x14ac:dyDescent="0.2">
      <c r="A1214" s="2">
        <v>16</v>
      </c>
      <c r="B1214" s="1" t="s">
        <v>100</v>
      </c>
      <c r="C1214" s="4">
        <v>12</v>
      </c>
      <c r="D1214" s="8">
        <v>1.77</v>
      </c>
      <c r="E1214" s="4">
        <v>2</v>
      </c>
      <c r="F1214" s="8">
        <v>0.53</v>
      </c>
      <c r="G1214" s="4">
        <v>10</v>
      </c>
      <c r="H1214" s="8">
        <v>3.33</v>
      </c>
      <c r="I1214" s="4">
        <v>0</v>
      </c>
    </row>
    <row r="1215" spans="1:9" x14ac:dyDescent="0.2">
      <c r="A1215" s="2">
        <v>17</v>
      </c>
      <c r="B1215" s="1" t="s">
        <v>118</v>
      </c>
      <c r="C1215" s="4">
        <v>10</v>
      </c>
      <c r="D1215" s="8">
        <v>1.47</v>
      </c>
      <c r="E1215" s="4">
        <v>0</v>
      </c>
      <c r="F1215" s="8">
        <v>0</v>
      </c>
      <c r="G1215" s="4">
        <v>9</v>
      </c>
      <c r="H1215" s="8">
        <v>3</v>
      </c>
      <c r="I1215" s="4">
        <v>0</v>
      </c>
    </row>
    <row r="1216" spans="1:9" x14ac:dyDescent="0.2">
      <c r="A1216" s="2">
        <v>18</v>
      </c>
      <c r="B1216" s="1" t="s">
        <v>117</v>
      </c>
      <c r="C1216" s="4">
        <v>9</v>
      </c>
      <c r="D1216" s="8">
        <v>1.33</v>
      </c>
      <c r="E1216" s="4">
        <v>2</v>
      </c>
      <c r="F1216" s="8">
        <v>0.53</v>
      </c>
      <c r="G1216" s="4">
        <v>7</v>
      </c>
      <c r="H1216" s="8">
        <v>2.33</v>
      </c>
      <c r="I1216" s="4">
        <v>0</v>
      </c>
    </row>
    <row r="1217" spans="1:9" x14ac:dyDescent="0.2">
      <c r="A1217" s="2">
        <v>18</v>
      </c>
      <c r="B1217" s="1" t="s">
        <v>103</v>
      </c>
      <c r="C1217" s="4">
        <v>9</v>
      </c>
      <c r="D1217" s="8">
        <v>1.33</v>
      </c>
      <c r="E1217" s="4">
        <v>6</v>
      </c>
      <c r="F1217" s="8">
        <v>1.6</v>
      </c>
      <c r="G1217" s="4">
        <v>3</v>
      </c>
      <c r="H1217" s="8">
        <v>1</v>
      </c>
      <c r="I1217" s="4">
        <v>0</v>
      </c>
    </row>
    <row r="1218" spans="1:9" x14ac:dyDescent="0.2">
      <c r="A1218" s="2">
        <v>18</v>
      </c>
      <c r="B1218" s="1" t="s">
        <v>109</v>
      </c>
      <c r="C1218" s="4">
        <v>9</v>
      </c>
      <c r="D1218" s="8">
        <v>1.33</v>
      </c>
      <c r="E1218" s="4">
        <v>6</v>
      </c>
      <c r="F1218" s="8">
        <v>1.6</v>
      </c>
      <c r="G1218" s="4">
        <v>3</v>
      </c>
      <c r="H1218" s="8">
        <v>1</v>
      </c>
      <c r="I1218" s="4">
        <v>0</v>
      </c>
    </row>
    <row r="1219" spans="1:9" x14ac:dyDescent="0.2">
      <c r="A1219" s="1"/>
      <c r="C1219" s="4"/>
      <c r="D1219" s="8"/>
      <c r="E1219" s="4"/>
      <c r="F1219" s="8"/>
      <c r="G1219" s="4"/>
      <c r="H1219" s="8"/>
      <c r="I1219" s="4"/>
    </row>
    <row r="1220" spans="1:9" x14ac:dyDescent="0.2">
      <c r="A1220" s="1" t="s">
        <v>54</v>
      </c>
      <c r="C1220" s="4"/>
      <c r="D1220" s="8"/>
      <c r="E1220" s="4"/>
      <c r="F1220" s="8"/>
      <c r="G1220" s="4"/>
      <c r="H1220" s="8"/>
      <c r="I1220" s="4"/>
    </row>
    <row r="1221" spans="1:9" x14ac:dyDescent="0.2">
      <c r="A1221" s="2">
        <v>1</v>
      </c>
      <c r="B1221" s="1" t="s">
        <v>111</v>
      </c>
      <c r="C1221" s="4">
        <v>31</v>
      </c>
      <c r="D1221" s="8">
        <v>10.26</v>
      </c>
      <c r="E1221" s="4">
        <v>25</v>
      </c>
      <c r="F1221" s="8">
        <v>14.37</v>
      </c>
      <c r="G1221" s="4">
        <v>6</v>
      </c>
      <c r="H1221" s="8">
        <v>4.8</v>
      </c>
      <c r="I1221" s="4">
        <v>0</v>
      </c>
    </row>
    <row r="1222" spans="1:9" x14ac:dyDescent="0.2">
      <c r="A1222" s="2">
        <v>2</v>
      </c>
      <c r="B1222" s="1" t="s">
        <v>97</v>
      </c>
      <c r="C1222" s="4">
        <v>30</v>
      </c>
      <c r="D1222" s="8">
        <v>9.93</v>
      </c>
      <c r="E1222" s="4">
        <v>10</v>
      </c>
      <c r="F1222" s="8">
        <v>5.75</v>
      </c>
      <c r="G1222" s="4">
        <v>20</v>
      </c>
      <c r="H1222" s="8">
        <v>16</v>
      </c>
      <c r="I1222" s="4">
        <v>0</v>
      </c>
    </row>
    <row r="1223" spans="1:9" x14ac:dyDescent="0.2">
      <c r="A1223" s="2">
        <v>3</v>
      </c>
      <c r="B1223" s="1" t="s">
        <v>106</v>
      </c>
      <c r="C1223" s="4">
        <v>27</v>
      </c>
      <c r="D1223" s="8">
        <v>8.94</v>
      </c>
      <c r="E1223" s="4">
        <v>16</v>
      </c>
      <c r="F1223" s="8">
        <v>9.1999999999999993</v>
      </c>
      <c r="G1223" s="4">
        <v>11</v>
      </c>
      <c r="H1223" s="8">
        <v>8.8000000000000007</v>
      </c>
      <c r="I1223" s="4">
        <v>0</v>
      </c>
    </row>
    <row r="1224" spans="1:9" x14ac:dyDescent="0.2">
      <c r="A1224" s="2">
        <v>4</v>
      </c>
      <c r="B1224" s="1" t="s">
        <v>98</v>
      </c>
      <c r="C1224" s="4">
        <v>23</v>
      </c>
      <c r="D1224" s="8">
        <v>7.62</v>
      </c>
      <c r="E1224" s="4">
        <v>13</v>
      </c>
      <c r="F1224" s="8">
        <v>7.47</v>
      </c>
      <c r="G1224" s="4">
        <v>10</v>
      </c>
      <c r="H1224" s="8">
        <v>8</v>
      </c>
      <c r="I1224" s="4">
        <v>0</v>
      </c>
    </row>
    <row r="1225" spans="1:9" x14ac:dyDescent="0.2">
      <c r="A1225" s="2">
        <v>5</v>
      </c>
      <c r="B1225" s="1" t="s">
        <v>114</v>
      </c>
      <c r="C1225" s="4">
        <v>20</v>
      </c>
      <c r="D1225" s="8">
        <v>6.62</v>
      </c>
      <c r="E1225" s="4">
        <v>19</v>
      </c>
      <c r="F1225" s="8">
        <v>10.92</v>
      </c>
      <c r="G1225" s="4">
        <v>0</v>
      </c>
      <c r="H1225" s="8">
        <v>0</v>
      </c>
      <c r="I1225" s="4">
        <v>0</v>
      </c>
    </row>
    <row r="1226" spans="1:9" x14ac:dyDescent="0.2">
      <c r="A1226" s="2">
        <v>6</v>
      </c>
      <c r="B1226" s="1" t="s">
        <v>130</v>
      </c>
      <c r="C1226" s="4">
        <v>19</v>
      </c>
      <c r="D1226" s="8">
        <v>6.29</v>
      </c>
      <c r="E1226" s="4">
        <v>11</v>
      </c>
      <c r="F1226" s="8">
        <v>6.32</v>
      </c>
      <c r="G1226" s="4">
        <v>8</v>
      </c>
      <c r="H1226" s="8">
        <v>6.4</v>
      </c>
      <c r="I1226" s="4">
        <v>0</v>
      </c>
    </row>
    <row r="1227" spans="1:9" x14ac:dyDescent="0.2">
      <c r="A1227" s="2">
        <v>7</v>
      </c>
      <c r="B1227" s="1" t="s">
        <v>112</v>
      </c>
      <c r="C1227" s="4">
        <v>14</v>
      </c>
      <c r="D1227" s="8">
        <v>4.6399999999999997</v>
      </c>
      <c r="E1227" s="4">
        <v>12</v>
      </c>
      <c r="F1227" s="8">
        <v>6.9</v>
      </c>
      <c r="G1227" s="4">
        <v>2</v>
      </c>
      <c r="H1227" s="8">
        <v>1.6</v>
      </c>
      <c r="I1227" s="4">
        <v>0</v>
      </c>
    </row>
    <row r="1228" spans="1:9" x14ac:dyDescent="0.2">
      <c r="A1228" s="2">
        <v>8</v>
      </c>
      <c r="B1228" s="1" t="s">
        <v>104</v>
      </c>
      <c r="C1228" s="4">
        <v>13</v>
      </c>
      <c r="D1228" s="8">
        <v>4.3</v>
      </c>
      <c r="E1228" s="4">
        <v>10</v>
      </c>
      <c r="F1228" s="8">
        <v>5.75</v>
      </c>
      <c r="G1228" s="4">
        <v>3</v>
      </c>
      <c r="H1228" s="8">
        <v>2.4</v>
      </c>
      <c r="I1228" s="4">
        <v>0</v>
      </c>
    </row>
    <row r="1229" spans="1:9" x14ac:dyDescent="0.2">
      <c r="A1229" s="2">
        <v>9</v>
      </c>
      <c r="B1229" s="1" t="s">
        <v>115</v>
      </c>
      <c r="C1229" s="4">
        <v>10</v>
      </c>
      <c r="D1229" s="8">
        <v>3.31</v>
      </c>
      <c r="E1229" s="4">
        <v>7</v>
      </c>
      <c r="F1229" s="8">
        <v>4.0199999999999996</v>
      </c>
      <c r="G1229" s="4">
        <v>3</v>
      </c>
      <c r="H1229" s="8">
        <v>2.4</v>
      </c>
      <c r="I1229" s="4">
        <v>0</v>
      </c>
    </row>
    <row r="1230" spans="1:9" x14ac:dyDescent="0.2">
      <c r="A1230" s="2">
        <v>10</v>
      </c>
      <c r="B1230" s="1" t="s">
        <v>99</v>
      </c>
      <c r="C1230" s="4">
        <v>9</v>
      </c>
      <c r="D1230" s="8">
        <v>2.98</v>
      </c>
      <c r="E1230" s="4">
        <v>4</v>
      </c>
      <c r="F1230" s="8">
        <v>2.2999999999999998</v>
      </c>
      <c r="G1230" s="4">
        <v>5</v>
      </c>
      <c r="H1230" s="8">
        <v>4</v>
      </c>
      <c r="I1230" s="4">
        <v>0</v>
      </c>
    </row>
    <row r="1231" spans="1:9" x14ac:dyDescent="0.2">
      <c r="A1231" s="2">
        <v>11</v>
      </c>
      <c r="B1231" s="1" t="s">
        <v>100</v>
      </c>
      <c r="C1231" s="4">
        <v>7</v>
      </c>
      <c r="D1231" s="8">
        <v>2.3199999999999998</v>
      </c>
      <c r="E1231" s="4">
        <v>3</v>
      </c>
      <c r="F1231" s="8">
        <v>1.72</v>
      </c>
      <c r="G1231" s="4">
        <v>4</v>
      </c>
      <c r="H1231" s="8">
        <v>3.2</v>
      </c>
      <c r="I1231" s="4">
        <v>0</v>
      </c>
    </row>
    <row r="1232" spans="1:9" x14ac:dyDescent="0.2">
      <c r="A1232" s="2">
        <v>11</v>
      </c>
      <c r="B1232" s="1" t="s">
        <v>116</v>
      </c>
      <c r="C1232" s="4">
        <v>7</v>
      </c>
      <c r="D1232" s="8">
        <v>2.3199999999999998</v>
      </c>
      <c r="E1232" s="4">
        <v>6</v>
      </c>
      <c r="F1232" s="8">
        <v>3.45</v>
      </c>
      <c r="G1232" s="4">
        <v>1</v>
      </c>
      <c r="H1232" s="8">
        <v>0.8</v>
      </c>
      <c r="I1232" s="4">
        <v>0</v>
      </c>
    </row>
    <row r="1233" spans="1:9" x14ac:dyDescent="0.2">
      <c r="A1233" s="2">
        <v>13</v>
      </c>
      <c r="B1233" s="1" t="s">
        <v>103</v>
      </c>
      <c r="C1233" s="4">
        <v>6</v>
      </c>
      <c r="D1233" s="8">
        <v>1.99</v>
      </c>
      <c r="E1233" s="4">
        <v>5</v>
      </c>
      <c r="F1233" s="8">
        <v>2.87</v>
      </c>
      <c r="G1233" s="4">
        <v>1</v>
      </c>
      <c r="H1233" s="8">
        <v>0.8</v>
      </c>
      <c r="I1233" s="4">
        <v>0</v>
      </c>
    </row>
    <row r="1234" spans="1:9" x14ac:dyDescent="0.2">
      <c r="A1234" s="2">
        <v>13</v>
      </c>
      <c r="B1234" s="1" t="s">
        <v>107</v>
      </c>
      <c r="C1234" s="4">
        <v>6</v>
      </c>
      <c r="D1234" s="8">
        <v>1.99</v>
      </c>
      <c r="E1234" s="4">
        <v>0</v>
      </c>
      <c r="F1234" s="8">
        <v>0</v>
      </c>
      <c r="G1234" s="4">
        <v>6</v>
      </c>
      <c r="H1234" s="8">
        <v>4.8</v>
      </c>
      <c r="I1234" s="4">
        <v>0</v>
      </c>
    </row>
    <row r="1235" spans="1:9" x14ac:dyDescent="0.2">
      <c r="A1235" s="2">
        <v>13</v>
      </c>
      <c r="B1235" s="1" t="s">
        <v>109</v>
      </c>
      <c r="C1235" s="4">
        <v>6</v>
      </c>
      <c r="D1235" s="8">
        <v>1.99</v>
      </c>
      <c r="E1235" s="4">
        <v>6</v>
      </c>
      <c r="F1235" s="8">
        <v>3.45</v>
      </c>
      <c r="G1235" s="4">
        <v>0</v>
      </c>
      <c r="H1235" s="8">
        <v>0</v>
      </c>
      <c r="I1235" s="4">
        <v>0</v>
      </c>
    </row>
    <row r="1236" spans="1:9" x14ac:dyDescent="0.2">
      <c r="A1236" s="2">
        <v>16</v>
      </c>
      <c r="B1236" s="1" t="s">
        <v>101</v>
      </c>
      <c r="C1236" s="4">
        <v>5</v>
      </c>
      <c r="D1236" s="8">
        <v>1.66</v>
      </c>
      <c r="E1236" s="4">
        <v>2</v>
      </c>
      <c r="F1236" s="8">
        <v>1.1499999999999999</v>
      </c>
      <c r="G1236" s="4">
        <v>3</v>
      </c>
      <c r="H1236" s="8">
        <v>2.4</v>
      </c>
      <c r="I1236" s="4">
        <v>0</v>
      </c>
    </row>
    <row r="1237" spans="1:9" x14ac:dyDescent="0.2">
      <c r="A1237" s="2">
        <v>16</v>
      </c>
      <c r="B1237" s="1" t="s">
        <v>105</v>
      </c>
      <c r="C1237" s="4">
        <v>5</v>
      </c>
      <c r="D1237" s="8">
        <v>1.66</v>
      </c>
      <c r="E1237" s="4">
        <v>4</v>
      </c>
      <c r="F1237" s="8">
        <v>2.2999999999999998</v>
      </c>
      <c r="G1237" s="4">
        <v>1</v>
      </c>
      <c r="H1237" s="8">
        <v>0.8</v>
      </c>
      <c r="I1237" s="4">
        <v>0</v>
      </c>
    </row>
    <row r="1238" spans="1:9" x14ac:dyDescent="0.2">
      <c r="A1238" s="2">
        <v>16</v>
      </c>
      <c r="B1238" s="1" t="s">
        <v>108</v>
      </c>
      <c r="C1238" s="4">
        <v>5</v>
      </c>
      <c r="D1238" s="8">
        <v>1.66</v>
      </c>
      <c r="E1238" s="4">
        <v>2</v>
      </c>
      <c r="F1238" s="8">
        <v>1.1499999999999999</v>
      </c>
      <c r="G1238" s="4">
        <v>3</v>
      </c>
      <c r="H1238" s="8">
        <v>2.4</v>
      </c>
      <c r="I1238" s="4">
        <v>0</v>
      </c>
    </row>
    <row r="1239" spans="1:9" x14ac:dyDescent="0.2">
      <c r="A1239" s="2">
        <v>19</v>
      </c>
      <c r="B1239" s="1" t="s">
        <v>126</v>
      </c>
      <c r="C1239" s="4">
        <v>4</v>
      </c>
      <c r="D1239" s="8">
        <v>1.32</v>
      </c>
      <c r="E1239" s="4">
        <v>2</v>
      </c>
      <c r="F1239" s="8">
        <v>1.1499999999999999</v>
      </c>
      <c r="G1239" s="4">
        <v>2</v>
      </c>
      <c r="H1239" s="8">
        <v>1.6</v>
      </c>
      <c r="I1239" s="4">
        <v>0</v>
      </c>
    </row>
    <row r="1240" spans="1:9" x14ac:dyDescent="0.2">
      <c r="A1240" s="2">
        <v>20</v>
      </c>
      <c r="B1240" s="1" t="s">
        <v>129</v>
      </c>
      <c r="C1240" s="4">
        <v>3</v>
      </c>
      <c r="D1240" s="8">
        <v>0.99</v>
      </c>
      <c r="E1240" s="4">
        <v>0</v>
      </c>
      <c r="F1240" s="8">
        <v>0</v>
      </c>
      <c r="G1240" s="4">
        <v>3</v>
      </c>
      <c r="H1240" s="8">
        <v>2.4</v>
      </c>
      <c r="I1240" s="4">
        <v>0</v>
      </c>
    </row>
    <row r="1241" spans="1:9" x14ac:dyDescent="0.2">
      <c r="A1241" s="2">
        <v>20</v>
      </c>
      <c r="B1241" s="1" t="s">
        <v>136</v>
      </c>
      <c r="C1241" s="4">
        <v>3</v>
      </c>
      <c r="D1241" s="8">
        <v>0.99</v>
      </c>
      <c r="E1241" s="4">
        <v>2</v>
      </c>
      <c r="F1241" s="8">
        <v>1.1499999999999999</v>
      </c>
      <c r="G1241" s="4">
        <v>1</v>
      </c>
      <c r="H1241" s="8">
        <v>0.8</v>
      </c>
      <c r="I1241" s="4">
        <v>0</v>
      </c>
    </row>
    <row r="1242" spans="1:9" x14ac:dyDescent="0.2">
      <c r="A1242" s="2">
        <v>20</v>
      </c>
      <c r="B1242" s="1" t="s">
        <v>137</v>
      </c>
      <c r="C1242" s="4">
        <v>3</v>
      </c>
      <c r="D1242" s="8">
        <v>0.99</v>
      </c>
      <c r="E1242" s="4">
        <v>1</v>
      </c>
      <c r="F1242" s="8">
        <v>0.56999999999999995</v>
      </c>
      <c r="G1242" s="4">
        <v>2</v>
      </c>
      <c r="H1242" s="8">
        <v>1.6</v>
      </c>
      <c r="I1242" s="4">
        <v>0</v>
      </c>
    </row>
    <row r="1243" spans="1:9" x14ac:dyDescent="0.2">
      <c r="A1243" s="2">
        <v>20</v>
      </c>
      <c r="B1243" s="1" t="s">
        <v>125</v>
      </c>
      <c r="C1243" s="4">
        <v>3</v>
      </c>
      <c r="D1243" s="8">
        <v>0.99</v>
      </c>
      <c r="E1243" s="4">
        <v>2</v>
      </c>
      <c r="F1243" s="8">
        <v>1.1499999999999999</v>
      </c>
      <c r="G1243" s="4">
        <v>1</v>
      </c>
      <c r="H1243" s="8">
        <v>0.8</v>
      </c>
      <c r="I1243" s="4">
        <v>0</v>
      </c>
    </row>
    <row r="1244" spans="1:9" x14ac:dyDescent="0.2">
      <c r="A1244" s="2">
        <v>20</v>
      </c>
      <c r="B1244" s="1" t="s">
        <v>117</v>
      </c>
      <c r="C1244" s="4">
        <v>3</v>
      </c>
      <c r="D1244" s="8">
        <v>0.99</v>
      </c>
      <c r="E1244" s="4">
        <v>1</v>
      </c>
      <c r="F1244" s="8">
        <v>0.56999999999999995</v>
      </c>
      <c r="G1244" s="4">
        <v>2</v>
      </c>
      <c r="H1244" s="8">
        <v>1.6</v>
      </c>
      <c r="I1244" s="4">
        <v>0</v>
      </c>
    </row>
    <row r="1245" spans="1:9" x14ac:dyDescent="0.2">
      <c r="A1245" s="2">
        <v>20</v>
      </c>
      <c r="B1245" s="1" t="s">
        <v>110</v>
      </c>
      <c r="C1245" s="4">
        <v>3</v>
      </c>
      <c r="D1245" s="8">
        <v>0.99</v>
      </c>
      <c r="E1245" s="4">
        <v>0</v>
      </c>
      <c r="F1245" s="8">
        <v>0</v>
      </c>
      <c r="G1245" s="4">
        <v>3</v>
      </c>
      <c r="H1245" s="8">
        <v>2.4</v>
      </c>
      <c r="I1245" s="4">
        <v>0</v>
      </c>
    </row>
    <row r="1246" spans="1:9" x14ac:dyDescent="0.2">
      <c r="A1246" s="2">
        <v>20</v>
      </c>
      <c r="B1246" s="1" t="s">
        <v>113</v>
      </c>
      <c r="C1246" s="4">
        <v>3</v>
      </c>
      <c r="D1246" s="8">
        <v>0.99</v>
      </c>
      <c r="E1246" s="4">
        <v>2</v>
      </c>
      <c r="F1246" s="8">
        <v>1.1499999999999999</v>
      </c>
      <c r="G1246" s="4">
        <v>1</v>
      </c>
      <c r="H1246" s="8">
        <v>0.8</v>
      </c>
      <c r="I1246" s="4">
        <v>0</v>
      </c>
    </row>
    <row r="1247" spans="1:9" x14ac:dyDescent="0.2">
      <c r="A1247" s="2">
        <v>20</v>
      </c>
      <c r="B1247" s="1" t="s">
        <v>124</v>
      </c>
      <c r="C1247" s="4">
        <v>3</v>
      </c>
      <c r="D1247" s="8">
        <v>0.99</v>
      </c>
      <c r="E1247" s="4">
        <v>2</v>
      </c>
      <c r="F1247" s="8">
        <v>1.1499999999999999</v>
      </c>
      <c r="G1247" s="4">
        <v>1</v>
      </c>
      <c r="H1247" s="8">
        <v>0.8</v>
      </c>
      <c r="I1247" s="4">
        <v>0</v>
      </c>
    </row>
    <row r="1248" spans="1:9" x14ac:dyDescent="0.2">
      <c r="A1248" s="2">
        <v>20</v>
      </c>
      <c r="B1248" s="1" t="s">
        <v>119</v>
      </c>
      <c r="C1248" s="4">
        <v>3</v>
      </c>
      <c r="D1248" s="8">
        <v>0.99</v>
      </c>
      <c r="E1248" s="4">
        <v>0</v>
      </c>
      <c r="F1248" s="8">
        <v>0</v>
      </c>
      <c r="G1248" s="4">
        <v>3</v>
      </c>
      <c r="H1248" s="8">
        <v>2.4</v>
      </c>
      <c r="I1248" s="4">
        <v>0</v>
      </c>
    </row>
    <row r="1249" spans="1:9" x14ac:dyDescent="0.2">
      <c r="A1249" s="1"/>
      <c r="C1249" s="4"/>
      <c r="D1249" s="8"/>
      <c r="E1249" s="4"/>
      <c r="F1249" s="8"/>
      <c r="G1249" s="4"/>
      <c r="H1249" s="8"/>
      <c r="I1249" s="4"/>
    </row>
    <row r="1250" spans="1:9" x14ac:dyDescent="0.2">
      <c r="A1250" s="1" t="s">
        <v>55</v>
      </c>
      <c r="C1250" s="4"/>
      <c r="D1250" s="8"/>
      <c r="E1250" s="4"/>
      <c r="F1250" s="8"/>
      <c r="G1250" s="4"/>
      <c r="H1250" s="8"/>
      <c r="I1250" s="4"/>
    </row>
    <row r="1251" spans="1:9" x14ac:dyDescent="0.2">
      <c r="A1251" s="2">
        <v>1</v>
      </c>
      <c r="B1251" s="1" t="s">
        <v>112</v>
      </c>
      <c r="C1251" s="4">
        <v>42</v>
      </c>
      <c r="D1251" s="8">
        <v>14.38</v>
      </c>
      <c r="E1251" s="4">
        <v>39</v>
      </c>
      <c r="F1251" s="8">
        <v>23.49</v>
      </c>
      <c r="G1251" s="4">
        <v>3</v>
      </c>
      <c r="H1251" s="8">
        <v>2.4</v>
      </c>
      <c r="I1251" s="4">
        <v>0</v>
      </c>
    </row>
    <row r="1252" spans="1:9" x14ac:dyDescent="0.2">
      <c r="A1252" s="2">
        <v>2</v>
      </c>
      <c r="B1252" s="1" t="s">
        <v>111</v>
      </c>
      <c r="C1252" s="4">
        <v>31</v>
      </c>
      <c r="D1252" s="8">
        <v>10.62</v>
      </c>
      <c r="E1252" s="4">
        <v>26</v>
      </c>
      <c r="F1252" s="8">
        <v>15.66</v>
      </c>
      <c r="G1252" s="4">
        <v>5</v>
      </c>
      <c r="H1252" s="8">
        <v>4</v>
      </c>
      <c r="I1252" s="4">
        <v>0</v>
      </c>
    </row>
    <row r="1253" spans="1:9" x14ac:dyDescent="0.2">
      <c r="A1253" s="2">
        <v>3</v>
      </c>
      <c r="B1253" s="1" t="s">
        <v>97</v>
      </c>
      <c r="C1253" s="4">
        <v>26</v>
      </c>
      <c r="D1253" s="8">
        <v>8.9</v>
      </c>
      <c r="E1253" s="4">
        <v>4</v>
      </c>
      <c r="F1253" s="8">
        <v>2.41</v>
      </c>
      <c r="G1253" s="4">
        <v>22</v>
      </c>
      <c r="H1253" s="8">
        <v>17.600000000000001</v>
      </c>
      <c r="I1253" s="4">
        <v>0</v>
      </c>
    </row>
    <row r="1254" spans="1:9" x14ac:dyDescent="0.2">
      <c r="A1254" s="2">
        <v>4</v>
      </c>
      <c r="B1254" s="1" t="s">
        <v>98</v>
      </c>
      <c r="C1254" s="4">
        <v>20</v>
      </c>
      <c r="D1254" s="8">
        <v>6.85</v>
      </c>
      <c r="E1254" s="4">
        <v>14</v>
      </c>
      <c r="F1254" s="8">
        <v>8.43</v>
      </c>
      <c r="G1254" s="4">
        <v>6</v>
      </c>
      <c r="H1254" s="8">
        <v>4.8</v>
      </c>
      <c r="I1254" s="4">
        <v>0</v>
      </c>
    </row>
    <row r="1255" spans="1:9" x14ac:dyDescent="0.2">
      <c r="A1255" s="2">
        <v>5</v>
      </c>
      <c r="B1255" s="1" t="s">
        <v>108</v>
      </c>
      <c r="C1255" s="4">
        <v>19</v>
      </c>
      <c r="D1255" s="8">
        <v>6.51</v>
      </c>
      <c r="E1255" s="4">
        <v>9</v>
      </c>
      <c r="F1255" s="8">
        <v>5.42</v>
      </c>
      <c r="G1255" s="4">
        <v>10</v>
      </c>
      <c r="H1255" s="8">
        <v>8</v>
      </c>
      <c r="I1255" s="4">
        <v>0</v>
      </c>
    </row>
    <row r="1256" spans="1:9" x14ac:dyDescent="0.2">
      <c r="A1256" s="2">
        <v>6</v>
      </c>
      <c r="B1256" s="1" t="s">
        <v>99</v>
      </c>
      <c r="C1256" s="4">
        <v>18</v>
      </c>
      <c r="D1256" s="8">
        <v>6.16</v>
      </c>
      <c r="E1256" s="4">
        <v>9</v>
      </c>
      <c r="F1256" s="8">
        <v>5.42</v>
      </c>
      <c r="G1256" s="4">
        <v>9</v>
      </c>
      <c r="H1256" s="8">
        <v>7.2</v>
      </c>
      <c r="I1256" s="4">
        <v>0</v>
      </c>
    </row>
    <row r="1257" spans="1:9" x14ac:dyDescent="0.2">
      <c r="A1257" s="2">
        <v>7</v>
      </c>
      <c r="B1257" s="1" t="s">
        <v>105</v>
      </c>
      <c r="C1257" s="4">
        <v>15</v>
      </c>
      <c r="D1257" s="8">
        <v>5.14</v>
      </c>
      <c r="E1257" s="4">
        <v>14</v>
      </c>
      <c r="F1257" s="8">
        <v>8.43</v>
      </c>
      <c r="G1257" s="4">
        <v>1</v>
      </c>
      <c r="H1257" s="8">
        <v>0.8</v>
      </c>
      <c r="I1257" s="4">
        <v>0</v>
      </c>
    </row>
    <row r="1258" spans="1:9" x14ac:dyDescent="0.2">
      <c r="A1258" s="2">
        <v>8</v>
      </c>
      <c r="B1258" s="1" t="s">
        <v>115</v>
      </c>
      <c r="C1258" s="4">
        <v>14</v>
      </c>
      <c r="D1258" s="8">
        <v>4.79</v>
      </c>
      <c r="E1258" s="4">
        <v>12</v>
      </c>
      <c r="F1258" s="8">
        <v>7.23</v>
      </c>
      <c r="G1258" s="4">
        <v>2</v>
      </c>
      <c r="H1258" s="8">
        <v>1.6</v>
      </c>
      <c r="I1258" s="4">
        <v>0</v>
      </c>
    </row>
    <row r="1259" spans="1:9" x14ac:dyDescent="0.2">
      <c r="A1259" s="2">
        <v>9</v>
      </c>
      <c r="B1259" s="1" t="s">
        <v>106</v>
      </c>
      <c r="C1259" s="4">
        <v>12</v>
      </c>
      <c r="D1259" s="8">
        <v>4.1100000000000003</v>
      </c>
      <c r="E1259" s="4">
        <v>6</v>
      </c>
      <c r="F1259" s="8">
        <v>3.61</v>
      </c>
      <c r="G1259" s="4">
        <v>6</v>
      </c>
      <c r="H1259" s="8">
        <v>4.8</v>
      </c>
      <c r="I1259" s="4">
        <v>0</v>
      </c>
    </row>
    <row r="1260" spans="1:9" x14ac:dyDescent="0.2">
      <c r="A1260" s="2">
        <v>10</v>
      </c>
      <c r="B1260" s="1" t="s">
        <v>109</v>
      </c>
      <c r="C1260" s="4">
        <v>7</v>
      </c>
      <c r="D1260" s="8">
        <v>2.4</v>
      </c>
      <c r="E1260" s="4">
        <v>4</v>
      </c>
      <c r="F1260" s="8">
        <v>2.41</v>
      </c>
      <c r="G1260" s="4">
        <v>3</v>
      </c>
      <c r="H1260" s="8">
        <v>2.4</v>
      </c>
      <c r="I1260" s="4">
        <v>0</v>
      </c>
    </row>
    <row r="1261" spans="1:9" x14ac:dyDescent="0.2">
      <c r="A1261" s="2">
        <v>11</v>
      </c>
      <c r="B1261" s="1" t="s">
        <v>122</v>
      </c>
      <c r="C1261" s="4">
        <v>6</v>
      </c>
      <c r="D1261" s="8">
        <v>2.0499999999999998</v>
      </c>
      <c r="E1261" s="4">
        <v>1</v>
      </c>
      <c r="F1261" s="8">
        <v>0.6</v>
      </c>
      <c r="G1261" s="4">
        <v>5</v>
      </c>
      <c r="H1261" s="8">
        <v>4</v>
      </c>
      <c r="I1261" s="4">
        <v>0</v>
      </c>
    </row>
    <row r="1262" spans="1:9" x14ac:dyDescent="0.2">
      <c r="A1262" s="2">
        <v>12</v>
      </c>
      <c r="B1262" s="1" t="s">
        <v>104</v>
      </c>
      <c r="C1262" s="4">
        <v>5</v>
      </c>
      <c r="D1262" s="8">
        <v>1.71</v>
      </c>
      <c r="E1262" s="4">
        <v>3</v>
      </c>
      <c r="F1262" s="8">
        <v>1.81</v>
      </c>
      <c r="G1262" s="4">
        <v>2</v>
      </c>
      <c r="H1262" s="8">
        <v>1.6</v>
      </c>
      <c r="I1262" s="4">
        <v>0</v>
      </c>
    </row>
    <row r="1263" spans="1:9" x14ac:dyDescent="0.2">
      <c r="A1263" s="2">
        <v>12</v>
      </c>
      <c r="B1263" s="1" t="s">
        <v>107</v>
      </c>
      <c r="C1263" s="4">
        <v>5</v>
      </c>
      <c r="D1263" s="8">
        <v>1.71</v>
      </c>
      <c r="E1263" s="4">
        <v>1</v>
      </c>
      <c r="F1263" s="8">
        <v>0.6</v>
      </c>
      <c r="G1263" s="4">
        <v>4</v>
      </c>
      <c r="H1263" s="8">
        <v>3.2</v>
      </c>
      <c r="I1263" s="4">
        <v>0</v>
      </c>
    </row>
    <row r="1264" spans="1:9" x14ac:dyDescent="0.2">
      <c r="A1264" s="2">
        <v>12</v>
      </c>
      <c r="B1264" s="1" t="s">
        <v>110</v>
      </c>
      <c r="C1264" s="4">
        <v>5</v>
      </c>
      <c r="D1264" s="8">
        <v>1.71</v>
      </c>
      <c r="E1264" s="4">
        <v>1</v>
      </c>
      <c r="F1264" s="8">
        <v>0.6</v>
      </c>
      <c r="G1264" s="4">
        <v>4</v>
      </c>
      <c r="H1264" s="8">
        <v>3.2</v>
      </c>
      <c r="I1264" s="4">
        <v>0</v>
      </c>
    </row>
    <row r="1265" spans="1:9" x14ac:dyDescent="0.2">
      <c r="A1265" s="2">
        <v>12</v>
      </c>
      <c r="B1265" s="1" t="s">
        <v>113</v>
      </c>
      <c r="C1265" s="4">
        <v>5</v>
      </c>
      <c r="D1265" s="8">
        <v>1.71</v>
      </c>
      <c r="E1265" s="4">
        <v>2</v>
      </c>
      <c r="F1265" s="8">
        <v>1.2</v>
      </c>
      <c r="G1265" s="4">
        <v>3</v>
      </c>
      <c r="H1265" s="8">
        <v>2.4</v>
      </c>
      <c r="I1265" s="4">
        <v>0</v>
      </c>
    </row>
    <row r="1266" spans="1:9" x14ac:dyDescent="0.2">
      <c r="A1266" s="2">
        <v>12</v>
      </c>
      <c r="B1266" s="1" t="s">
        <v>114</v>
      </c>
      <c r="C1266" s="4">
        <v>5</v>
      </c>
      <c r="D1266" s="8">
        <v>1.71</v>
      </c>
      <c r="E1266" s="4">
        <v>4</v>
      </c>
      <c r="F1266" s="8">
        <v>2.41</v>
      </c>
      <c r="G1266" s="4">
        <v>1</v>
      </c>
      <c r="H1266" s="8">
        <v>0.8</v>
      </c>
      <c r="I1266" s="4">
        <v>0</v>
      </c>
    </row>
    <row r="1267" spans="1:9" x14ac:dyDescent="0.2">
      <c r="A1267" s="2">
        <v>12</v>
      </c>
      <c r="B1267" s="1" t="s">
        <v>118</v>
      </c>
      <c r="C1267" s="4">
        <v>5</v>
      </c>
      <c r="D1267" s="8">
        <v>1.71</v>
      </c>
      <c r="E1267" s="4">
        <v>0</v>
      </c>
      <c r="F1267" s="8">
        <v>0</v>
      </c>
      <c r="G1267" s="4">
        <v>4</v>
      </c>
      <c r="H1267" s="8">
        <v>3.2</v>
      </c>
      <c r="I1267" s="4">
        <v>1</v>
      </c>
    </row>
    <row r="1268" spans="1:9" x14ac:dyDescent="0.2">
      <c r="A1268" s="2">
        <v>18</v>
      </c>
      <c r="B1268" s="1" t="s">
        <v>101</v>
      </c>
      <c r="C1268" s="4">
        <v>4</v>
      </c>
      <c r="D1268" s="8">
        <v>1.37</v>
      </c>
      <c r="E1268" s="4">
        <v>2</v>
      </c>
      <c r="F1268" s="8">
        <v>1.2</v>
      </c>
      <c r="G1268" s="4">
        <v>2</v>
      </c>
      <c r="H1268" s="8">
        <v>1.6</v>
      </c>
      <c r="I1268" s="4">
        <v>0</v>
      </c>
    </row>
    <row r="1269" spans="1:9" x14ac:dyDescent="0.2">
      <c r="A1269" s="2">
        <v>18</v>
      </c>
      <c r="B1269" s="1" t="s">
        <v>102</v>
      </c>
      <c r="C1269" s="4">
        <v>4</v>
      </c>
      <c r="D1269" s="8">
        <v>1.37</v>
      </c>
      <c r="E1269" s="4">
        <v>0</v>
      </c>
      <c r="F1269" s="8">
        <v>0</v>
      </c>
      <c r="G1269" s="4">
        <v>4</v>
      </c>
      <c r="H1269" s="8">
        <v>3.2</v>
      </c>
      <c r="I1269" s="4">
        <v>0</v>
      </c>
    </row>
    <row r="1270" spans="1:9" x14ac:dyDescent="0.2">
      <c r="A1270" s="2">
        <v>20</v>
      </c>
      <c r="B1270" s="1" t="s">
        <v>100</v>
      </c>
      <c r="C1270" s="4">
        <v>3</v>
      </c>
      <c r="D1270" s="8">
        <v>1.03</v>
      </c>
      <c r="E1270" s="4">
        <v>0</v>
      </c>
      <c r="F1270" s="8">
        <v>0</v>
      </c>
      <c r="G1270" s="4">
        <v>3</v>
      </c>
      <c r="H1270" s="8">
        <v>2.4</v>
      </c>
      <c r="I1270" s="4">
        <v>0</v>
      </c>
    </row>
    <row r="1271" spans="1:9" x14ac:dyDescent="0.2">
      <c r="A1271" s="2">
        <v>20</v>
      </c>
      <c r="B1271" s="1" t="s">
        <v>120</v>
      </c>
      <c r="C1271" s="4">
        <v>3</v>
      </c>
      <c r="D1271" s="8">
        <v>1.03</v>
      </c>
      <c r="E1271" s="4">
        <v>1</v>
      </c>
      <c r="F1271" s="8">
        <v>0.6</v>
      </c>
      <c r="G1271" s="4">
        <v>2</v>
      </c>
      <c r="H1271" s="8">
        <v>1.6</v>
      </c>
      <c r="I1271" s="4">
        <v>0</v>
      </c>
    </row>
    <row r="1272" spans="1:9" x14ac:dyDescent="0.2">
      <c r="A1272" s="2">
        <v>20</v>
      </c>
      <c r="B1272" s="1" t="s">
        <v>134</v>
      </c>
      <c r="C1272" s="4">
        <v>3</v>
      </c>
      <c r="D1272" s="8">
        <v>1.03</v>
      </c>
      <c r="E1272" s="4">
        <v>1</v>
      </c>
      <c r="F1272" s="8">
        <v>0.6</v>
      </c>
      <c r="G1272" s="4">
        <v>2</v>
      </c>
      <c r="H1272" s="8">
        <v>1.6</v>
      </c>
      <c r="I1272" s="4">
        <v>0</v>
      </c>
    </row>
    <row r="1273" spans="1:9" x14ac:dyDescent="0.2">
      <c r="A1273" s="1"/>
      <c r="C1273" s="4"/>
      <c r="D1273" s="8"/>
      <c r="E1273" s="4"/>
      <c r="F1273" s="8"/>
      <c r="G1273" s="4"/>
      <c r="H1273" s="8"/>
      <c r="I1273" s="4"/>
    </row>
    <row r="1274" spans="1:9" x14ac:dyDescent="0.2">
      <c r="A1274" s="1" t="s">
        <v>56</v>
      </c>
      <c r="C1274" s="4"/>
      <c r="D1274" s="8"/>
      <c r="E1274" s="4"/>
      <c r="F1274" s="8"/>
      <c r="G1274" s="4"/>
      <c r="H1274" s="8"/>
      <c r="I1274" s="4"/>
    </row>
    <row r="1275" spans="1:9" x14ac:dyDescent="0.2">
      <c r="A1275" s="2">
        <v>1</v>
      </c>
      <c r="B1275" s="1" t="s">
        <v>97</v>
      </c>
      <c r="C1275" s="4">
        <v>46</v>
      </c>
      <c r="D1275" s="8">
        <v>10.7</v>
      </c>
      <c r="E1275" s="4">
        <v>19</v>
      </c>
      <c r="F1275" s="8">
        <v>7.6</v>
      </c>
      <c r="G1275" s="4">
        <v>27</v>
      </c>
      <c r="H1275" s="8">
        <v>15.61</v>
      </c>
      <c r="I1275" s="4">
        <v>0</v>
      </c>
    </row>
    <row r="1276" spans="1:9" x14ac:dyDescent="0.2">
      <c r="A1276" s="2">
        <v>2</v>
      </c>
      <c r="B1276" s="1" t="s">
        <v>111</v>
      </c>
      <c r="C1276" s="4">
        <v>44</v>
      </c>
      <c r="D1276" s="8">
        <v>10.23</v>
      </c>
      <c r="E1276" s="4">
        <v>40</v>
      </c>
      <c r="F1276" s="8">
        <v>16</v>
      </c>
      <c r="G1276" s="4">
        <v>4</v>
      </c>
      <c r="H1276" s="8">
        <v>2.31</v>
      </c>
      <c r="I1276" s="4">
        <v>0</v>
      </c>
    </row>
    <row r="1277" spans="1:9" x14ac:dyDescent="0.2">
      <c r="A1277" s="2">
        <v>3</v>
      </c>
      <c r="B1277" s="1" t="s">
        <v>112</v>
      </c>
      <c r="C1277" s="4">
        <v>42</v>
      </c>
      <c r="D1277" s="8">
        <v>9.77</v>
      </c>
      <c r="E1277" s="4">
        <v>36</v>
      </c>
      <c r="F1277" s="8">
        <v>14.4</v>
      </c>
      <c r="G1277" s="4">
        <v>6</v>
      </c>
      <c r="H1277" s="8">
        <v>3.47</v>
      </c>
      <c r="I1277" s="4">
        <v>0</v>
      </c>
    </row>
    <row r="1278" spans="1:9" x14ac:dyDescent="0.2">
      <c r="A1278" s="2">
        <v>4</v>
      </c>
      <c r="B1278" s="1" t="s">
        <v>108</v>
      </c>
      <c r="C1278" s="4">
        <v>37</v>
      </c>
      <c r="D1278" s="8">
        <v>8.6</v>
      </c>
      <c r="E1278" s="4">
        <v>30</v>
      </c>
      <c r="F1278" s="8">
        <v>12</v>
      </c>
      <c r="G1278" s="4">
        <v>6</v>
      </c>
      <c r="H1278" s="8">
        <v>3.47</v>
      </c>
      <c r="I1278" s="4">
        <v>1</v>
      </c>
    </row>
    <row r="1279" spans="1:9" x14ac:dyDescent="0.2">
      <c r="A1279" s="2">
        <v>5</v>
      </c>
      <c r="B1279" s="1" t="s">
        <v>106</v>
      </c>
      <c r="C1279" s="4">
        <v>30</v>
      </c>
      <c r="D1279" s="8">
        <v>6.98</v>
      </c>
      <c r="E1279" s="4">
        <v>16</v>
      </c>
      <c r="F1279" s="8">
        <v>6.4</v>
      </c>
      <c r="G1279" s="4">
        <v>14</v>
      </c>
      <c r="H1279" s="8">
        <v>8.09</v>
      </c>
      <c r="I1279" s="4">
        <v>0</v>
      </c>
    </row>
    <row r="1280" spans="1:9" x14ac:dyDescent="0.2">
      <c r="A1280" s="2">
        <v>6</v>
      </c>
      <c r="B1280" s="1" t="s">
        <v>98</v>
      </c>
      <c r="C1280" s="4">
        <v>25</v>
      </c>
      <c r="D1280" s="8">
        <v>5.81</v>
      </c>
      <c r="E1280" s="4">
        <v>15</v>
      </c>
      <c r="F1280" s="8">
        <v>6</v>
      </c>
      <c r="G1280" s="4">
        <v>10</v>
      </c>
      <c r="H1280" s="8">
        <v>5.78</v>
      </c>
      <c r="I1280" s="4">
        <v>0</v>
      </c>
    </row>
    <row r="1281" spans="1:9" x14ac:dyDescent="0.2">
      <c r="A1281" s="2">
        <v>7</v>
      </c>
      <c r="B1281" s="1" t="s">
        <v>104</v>
      </c>
      <c r="C1281" s="4">
        <v>24</v>
      </c>
      <c r="D1281" s="8">
        <v>5.58</v>
      </c>
      <c r="E1281" s="4">
        <v>17</v>
      </c>
      <c r="F1281" s="8">
        <v>6.8</v>
      </c>
      <c r="G1281" s="4">
        <v>7</v>
      </c>
      <c r="H1281" s="8">
        <v>4.05</v>
      </c>
      <c r="I1281" s="4">
        <v>0</v>
      </c>
    </row>
    <row r="1282" spans="1:9" x14ac:dyDescent="0.2">
      <c r="A1282" s="2">
        <v>8</v>
      </c>
      <c r="B1282" s="1" t="s">
        <v>99</v>
      </c>
      <c r="C1282" s="4">
        <v>20</v>
      </c>
      <c r="D1282" s="8">
        <v>4.6500000000000004</v>
      </c>
      <c r="E1282" s="4">
        <v>7</v>
      </c>
      <c r="F1282" s="8">
        <v>2.8</v>
      </c>
      <c r="G1282" s="4">
        <v>13</v>
      </c>
      <c r="H1282" s="8">
        <v>7.51</v>
      </c>
      <c r="I1282" s="4">
        <v>0</v>
      </c>
    </row>
    <row r="1283" spans="1:9" x14ac:dyDescent="0.2">
      <c r="A1283" s="2">
        <v>9</v>
      </c>
      <c r="B1283" s="1" t="s">
        <v>114</v>
      </c>
      <c r="C1283" s="4">
        <v>16</v>
      </c>
      <c r="D1283" s="8">
        <v>3.72</v>
      </c>
      <c r="E1283" s="4">
        <v>12</v>
      </c>
      <c r="F1283" s="8">
        <v>4.8</v>
      </c>
      <c r="G1283" s="4">
        <v>3</v>
      </c>
      <c r="H1283" s="8">
        <v>1.73</v>
      </c>
      <c r="I1283" s="4">
        <v>0</v>
      </c>
    </row>
    <row r="1284" spans="1:9" x14ac:dyDescent="0.2">
      <c r="A1284" s="2">
        <v>10</v>
      </c>
      <c r="B1284" s="1" t="s">
        <v>110</v>
      </c>
      <c r="C1284" s="4">
        <v>15</v>
      </c>
      <c r="D1284" s="8">
        <v>3.49</v>
      </c>
      <c r="E1284" s="4">
        <v>5</v>
      </c>
      <c r="F1284" s="8">
        <v>2</v>
      </c>
      <c r="G1284" s="4">
        <v>10</v>
      </c>
      <c r="H1284" s="8">
        <v>5.78</v>
      </c>
      <c r="I1284" s="4">
        <v>0</v>
      </c>
    </row>
    <row r="1285" spans="1:9" x14ac:dyDescent="0.2">
      <c r="A1285" s="2">
        <v>11</v>
      </c>
      <c r="B1285" s="1" t="s">
        <v>105</v>
      </c>
      <c r="C1285" s="4">
        <v>14</v>
      </c>
      <c r="D1285" s="8">
        <v>3.26</v>
      </c>
      <c r="E1285" s="4">
        <v>10</v>
      </c>
      <c r="F1285" s="8">
        <v>4</v>
      </c>
      <c r="G1285" s="4">
        <v>4</v>
      </c>
      <c r="H1285" s="8">
        <v>2.31</v>
      </c>
      <c r="I1285" s="4">
        <v>0</v>
      </c>
    </row>
    <row r="1286" spans="1:9" x14ac:dyDescent="0.2">
      <c r="A1286" s="2">
        <v>12</v>
      </c>
      <c r="B1286" s="1" t="s">
        <v>115</v>
      </c>
      <c r="C1286" s="4">
        <v>13</v>
      </c>
      <c r="D1286" s="8">
        <v>3.02</v>
      </c>
      <c r="E1286" s="4">
        <v>11</v>
      </c>
      <c r="F1286" s="8">
        <v>4.4000000000000004</v>
      </c>
      <c r="G1286" s="4">
        <v>2</v>
      </c>
      <c r="H1286" s="8">
        <v>1.1599999999999999</v>
      </c>
      <c r="I1286" s="4">
        <v>0</v>
      </c>
    </row>
    <row r="1287" spans="1:9" x14ac:dyDescent="0.2">
      <c r="A1287" s="2">
        <v>13</v>
      </c>
      <c r="B1287" s="1" t="s">
        <v>109</v>
      </c>
      <c r="C1287" s="4">
        <v>9</v>
      </c>
      <c r="D1287" s="8">
        <v>2.09</v>
      </c>
      <c r="E1287" s="4">
        <v>7</v>
      </c>
      <c r="F1287" s="8">
        <v>2.8</v>
      </c>
      <c r="G1287" s="4">
        <v>2</v>
      </c>
      <c r="H1287" s="8">
        <v>1.1599999999999999</v>
      </c>
      <c r="I1287" s="4">
        <v>0</v>
      </c>
    </row>
    <row r="1288" spans="1:9" x14ac:dyDescent="0.2">
      <c r="A1288" s="2">
        <v>13</v>
      </c>
      <c r="B1288" s="1" t="s">
        <v>113</v>
      </c>
      <c r="C1288" s="4">
        <v>9</v>
      </c>
      <c r="D1288" s="8">
        <v>2.09</v>
      </c>
      <c r="E1288" s="4">
        <v>3</v>
      </c>
      <c r="F1288" s="8">
        <v>1.2</v>
      </c>
      <c r="G1288" s="4">
        <v>5</v>
      </c>
      <c r="H1288" s="8">
        <v>2.89</v>
      </c>
      <c r="I1288" s="4">
        <v>1</v>
      </c>
    </row>
    <row r="1289" spans="1:9" x14ac:dyDescent="0.2">
      <c r="A1289" s="2">
        <v>15</v>
      </c>
      <c r="B1289" s="1" t="s">
        <v>125</v>
      </c>
      <c r="C1289" s="4">
        <v>7</v>
      </c>
      <c r="D1289" s="8">
        <v>1.63</v>
      </c>
      <c r="E1289" s="4">
        <v>4</v>
      </c>
      <c r="F1289" s="8">
        <v>1.6</v>
      </c>
      <c r="G1289" s="4">
        <v>3</v>
      </c>
      <c r="H1289" s="8">
        <v>1.73</v>
      </c>
      <c r="I1289" s="4">
        <v>0</v>
      </c>
    </row>
    <row r="1290" spans="1:9" x14ac:dyDescent="0.2">
      <c r="A1290" s="2">
        <v>16</v>
      </c>
      <c r="B1290" s="1" t="s">
        <v>100</v>
      </c>
      <c r="C1290" s="4">
        <v>6</v>
      </c>
      <c r="D1290" s="8">
        <v>1.4</v>
      </c>
      <c r="E1290" s="4">
        <v>1</v>
      </c>
      <c r="F1290" s="8">
        <v>0.4</v>
      </c>
      <c r="G1290" s="4">
        <v>5</v>
      </c>
      <c r="H1290" s="8">
        <v>2.89</v>
      </c>
      <c r="I1290" s="4">
        <v>0</v>
      </c>
    </row>
    <row r="1291" spans="1:9" x14ac:dyDescent="0.2">
      <c r="A1291" s="2">
        <v>16</v>
      </c>
      <c r="B1291" s="1" t="s">
        <v>103</v>
      </c>
      <c r="C1291" s="4">
        <v>6</v>
      </c>
      <c r="D1291" s="8">
        <v>1.4</v>
      </c>
      <c r="E1291" s="4">
        <v>5</v>
      </c>
      <c r="F1291" s="8">
        <v>2</v>
      </c>
      <c r="G1291" s="4">
        <v>1</v>
      </c>
      <c r="H1291" s="8">
        <v>0.57999999999999996</v>
      </c>
      <c r="I1291" s="4">
        <v>0</v>
      </c>
    </row>
    <row r="1292" spans="1:9" x14ac:dyDescent="0.2">
      <c r="A1292" s="2">
        <v>16</v>
      </c>
      <c r="B1292" s="1" t="s">
        <v>118</v>
      </c>
      <c r="C1292" s="4">
        <v>6</v>
      </c>
      <c r="D1292" s="8">
        <v>1.4</v>
      </c>
      <c r="E1292" s="4">
        <v>0</v>
      </c>
      <c r="F1292" s="8">
        <v>0</v>
      </c>
      <c r="G1292" s="4">
        <v>4</v>
      </c>
      <c r="H1292" s="8">
        <v>2.31</v>
      </c>
      <c r="I1292" s="4">
        <v>0</v>
      </c>
    </row>
    <row r="1293" spans="1:9" x14ac:dyDescent="0.2">
      <c r="A1293" s="2">
        <v>19</v>
      </c>
      <c r="B1293" s="1" t="s">
        <v>123</v>
      </c>
      <c r="C1293" s="4">
        <v>5</v>
      </c>
      <c r="D1293" s="8">
        <v>1.1599999999999999</v>
      </c>
      <c r="E1293" s="4">
        <v>1</v>
      </c>
      <c r="F1293" s="8">
        <v>0.4</v>
      </c>
      <c r="G1293" s="4">
        <v>4</v>
      </c>
      <c r="H1293" s="8">
        <v>2.31</v>
      </c>
      <c r="I1293" s="4">
        <v>0</v>
      </c>
    </row>
    <row r="1294" spans="1:9" x14ac:dyDescent="0.2">
      <c r="A1294" s="2">
        <v>19</v>
      </c>
      <c r="B1294" s="1" t="s">
        <v>101</v>
      </c>
      <c r="C1294" s="4">
        <v>5</v>
      </c>
      <c r="D1294" s="8">
        <v>1.1599999999999999</v>
      </c>
      <c r="E1294" s="4">
        <v>1</v>
      </c>
      <c r="F1294" s="8">
        <v>0.4</v>
      </c>
      <c r="G1294" s="4">
        <v>4</v>
      </c>
      <c r="H1294" s="8">
        <v>2.31</v>
      </c>
      <c r="I1294" s="4">
        <v>0</v>
      </c>
    </row>
    <row r="1295" spans="1:9" x14ac:dyDescent="0.2">
      <c r="A1295" s="2">
        <v>19</v>
      </c>
      <c r="B1295" s="1" t="s">
        <v>107</v>
      </c>
      <c r="C1295" s="4">
        <v>5</v>
      </c>
      <c r="D1295" s="8">
        <v>1.1599999999999999</v>
      </c>
      <c r="E1295" s="4">
        <v>1</v>
      </c>
      <c r="F1295" s="8">
        <v>0.4</v>
      </c>
      <c r="G1295" s="4">
        <v>4</v>
      </c>
      <c r="H1295" s="8">
        <v>2.31</v>
      </c>
      <c r="I1295" s="4">
        <v>0</v>
      </c>
    </row>
    <row r="1296" spans="1:9" x14ac:dyDescent="0.2">
      <c r="A1296" s="2">
        <v>19</v>
      </c>
      <c r="B1296" s="1" t="s">
        <v>134</v>
      </c>
      <c r="C1296" s="4">
        <v>5</v>
      </c>
      <c r="D1296" s="8">
        <v>1.1599999999999999</v>
      </c>
      <c r="E1296" s="4">
        <v>1</v>
      </c>
      <c r="F1296" s="8">
        <v>0.4</v>
      </c>
      <c r="G1296" s="4">
        <v>3</v>
      </c>
      <c r="H1296" s="8">
        <v>1.73</v>
      </c>
      <c r="I1296" s="4">
        <v>0</v>
      </c>
    </row>
    <row r="1297" spans="1:9" x14ac:dyDescent="0.2">
      <c r="A1297" s="1"/>
      <c r="C1297" s="4"/>
      <c r="D1297" s="8"/>
      <c r="E1297" s="4"/>
      <c r="F1297" s="8"/>
      <c r="G1297" s="4"/>
      <c r="H1297" s="8"/>
      <c r="I1297" s="4"/>
    </row>
    <row r="1298" spans="1:9" x14ac:dyDescent="0.2">
      <c r="A1298" s="1" t="s">
        <v>57</v>
      </c>
      <c r="C1298" s="4"/>
      <c r="D1298" s="8"/>
      <c r="E1298" s="4"/>
      <c r="F1298" s="8"/>
      <c r="G1298" s="4"/>
      <c r="H1298" s="8"/>
      <c r="I1298" s="4"/>
    </row>
    <row r="1299" spans="1:9" x14ac:dyDescent="0.2">
      <c r="A1299" s="2">
        <v>1</v>
      </c>
      <c r="B1299" s="1" t="s">
        <v>112</v>
      </c>
      <c r="C1299" s="4">
        <v>60</v>
      </c>
      <c r="D1299" s="8">
        <v>8.94</v>
      </c>
      <c r="E1299" s="4">
        <v>54</v>
      </c>
      <c r="F1299" s="8">
        <v>13.64</v>
      </c>
      <c r="G1299" s="4">
        <v>6</v>
      </c>
      <c r="H1299" s="8">
        <v>2.2400000000000002</v>
      </c>
      <c r="I1299" s="4">
        <v>0</v>
      </c>
    </row>
    <row r="1300" spans="1:9" x14ac:dyDescent="0.2">
      <c r="A1300" s="2">
        <v>2</v>
      </c>
      <c r="B1300" s="1" t="s">
        <v>111</v>
      </c>
      <c r="C1300" s="4">
        <v>57</v>
      </c>
      <c r="D1300" s="8">
        <v>8.49</v>
      </c>
      <c r="E1300" s="4">
        <v>48</v>
      </c>
      <c r="F1300" s="8">
        <v>12.12</v>
      </c>
      <c r="G1300" s="4">
        <v>9</v>
      </c>
      <c r="H1300" s="8">
        <v>3.36</v>
      </c>
      <c r="I1300" s="4">
        <v>0</v>
      </c>
    </row>
    <row r="1301" spans="1:9" x14ac:dyDescent="0.2">
      <c r="A1301" s="2">
        <v>3</v>
      </c>
      <c r="B1301" s="1" t="s">
        <v>106</v>
      </c>
      <c r="C1301" s="4">
        <v>54</v>
      </c>
      <c r="D1301" s="8">
        <v>8.0500000000000007</v>
      </c>
      <c r="E1301" s="4">
        <v>24</v>
      </c>
      <c r="F1301" s="8">
        <v>6.06</v>
      </c>
      <c r="G1301" s="4">
        <v>30</v>
      </c>
      <c r="H1301" s="8">
        <v>11.19</v>
      </c>
      <c r="I1301" s="4">
        <v>0</v>
      </c>
    </row>
    <row r="1302" spans="1:9" x14ac:dyDescent="0.2">
      <c r="A1302" s="2">
        <v>4</v>
      </c>
      <c r="B1302" s="1" t="s">
        <v>97</v>
      </c>
      <c r="C1302" s="4">
        <v>49</v>
      </c>
      <c r="D1302" s="8">
        <v>7.3</v>
      </c>
      <c r="E1302" s="4">
        <v>17</v>
      </c>
      <c r="F1302" s="8">
        <v>4.29</v>
      </c>
      <c r="G1302" s="4">
        <v>32</v>
      </c>
      <c r="H1302" s="8">
        <v>11.94</v>
      </c>
      <c r="I1302" s="4">
        <v>0</v>
      </c>
    </row>
    <row r="1303" spans="1:9" x14ac:dyDescent="0.2">
      <c r="A1303" s="2">
        <v>5</v>
      </c>
      <c r="B1303" s="1" t="s">
        <v>104</v>
      </c>
      <c r="C1303" s="4">
        <v>45</v>
      </c>
      <c r="D1303" s="8">
        <v>6.71</v>
      </c>
      <c r="E1303" s="4">
        <v>33</v>
      </c>
      <c r="F1303" s="8">
        <v>8.33</v>
      </c>
      <c r="G1303" s="4">
        <v>12</v>
      </c>
      <c r="H1303" s="8">
        <v>4.4800000000000004</v>
      </c>
      <c r="I1303" s="4">
        <v>0</v>
      </c>
    </row>
    <row r="1304" spans="1:9" x14ac:dyDescent="0.2">
      <c r="A1304" s="2">
        <v>6</v>
      </c>
      <c r="B1304" s="1" t="s">
        <v>108</v>
      </c>
      <c r="C1304" s="4">
        <v>39</v>
      </c>
      <c r="D1304" s="8">
        <v>5.81</v>
      </c>
      <c r="E1304" s="4">
        <v>24</v>
      </c>
      <c r="F1304" s="8">
        <v>6.06</v>
      </c>
      <c r="G1304" s="4">
        <v>15</v>
      </c>
      <c r="H1304" s="8">
        <v>5.6</v>
      </c>
      <c r="I1304" s="4">
        <v>0</v>
      </c>
    </row>
    <row r="1305" spans="1:9" x14ac:dyDescent="0.2">
      <c r="A1305" s="2">
        <v>7</v>
      </c>
      <c r="B1305" s="1" t="s">
        <v>114</v>
      </c>
      <c r="C1305" s="4">
        <v>36</v>
      </c>
      <c r="D1305" s="8">
        <v>5.37</v>
      </c>
      <c r="E1305" s="4">
        <v>26</v>
      </c>
      <c r="F1305" s="8">
        <v>6.57</v>
      </c>
      <c r="G1305" s="4">
        <v>5</v>
      </c>
      <c r="H1305" s="8">
        <v>1.87</v>
      </c>
      <c r="I1305" s="4">
        <v>0</v>
      </c>
    </row>
    <row r="1306" spans="1:9" x14ac:dyDescent="0.2">
      <c r="A1306" s="2">
        <v>8</v>
      </c>
      <c r="B1306" s="1" t="s">
        <v>98</v>
      </c>
      <c r="C1306" s="4">
        <v>31</v>
      </c>
      <c r="D1306" s="8">
        <v>4.62</v>
      </c>
      <c r="E1306" s="4">
        <v>22</v>
      </c>
      <c r="F1306" s="8">
        <v>5.56</v>
      </c>
      <c r="G1306" s="4">
        <v>9</v>
      </c>
      <c r="H1306" s="8">
        <v>3.36</v>
      </c>
      <c r="I1306" s="4">
        <v>0</v>
      </c>
    </row>
    <row r="1307" spans="1:9" x14ac:dyDescent="0.2">
      <c r="A1307" s="2">
        <v>9</v>
      </c>
      <c r="B1307" s="1" t="s">
        <v>105</v>
      </c>
      <c r="C1307" s="4">
        <v>21</v>
      </c>
      <c r="D1307" s="8">
        <v>3.13</v>
      </c>
      <c r="E1307" s="4">
        <v>15</v>
      </c>
      <c r="F1307" s="8">
        <v>3.79</v>
      </c>
      <c r="G1307" s="4">
        <v>6</v>
      </c>
      <c r="H1307" s="8">
        <v>2.2400000000000002</v>
      </c>
      <c r="I1307" s="4">
        <v>0</v>
      </c>
    </row>
    <row r="1308" spans="1:9" x14ac:dyDescent="0.2">
      <c r="A1308" s="2">
        <v>9</v>
      </c>
      <c r="B1308" s="1" t="s">
        <v>115</v>
      </c>
      <c r="C1308" s="4">
        <v>21</v>
      </c>
      <c r="D1308" s="8">
        <v>3.13</v>
      </c>
      <c r="E1308" s="4">
        <v>19</v>
      </c>
      <c r="F1308" s="8">
        <v>4.8</v>
      </c>
      <c r="G1308" s="4">
        <v>2</v>
      </c>
      <c r="H1308" s="8">
        <v>0.75</v>
      </c>
      <c r="I1308" s="4">
        <v>0</v>
      </c>
    </row>
    <row r="1309" spans="1:9" x14ac:dyDescent="0.2">
      <c r="A1309" s="2">
        <v>11</v>
      </c>
      <c r="B1309" s="1" t="s">
        <v>99</v>
      </c>
      <c r="C1309" s="4">
        <v>20</v>
      </c>
      <c r="D1309" s="8">
        <v>2.98</v>
      </c>
      <c r="E1309" s="4">
        <v>9</v>
      </c>
      <c r="F1309" s="8">
        <v>2.27</v>
      </c>
      <c r="G1309" s="4">
        <v>11</v>
      </c>
      <c r="H1309" s="8">
        <v>4.0999999999999996</v>
      </c>
      <c r="I1309" s="4">
        <v>0</v>
      </c>
    </row>
    <row r="1310" spans="1:9" x14ac:dyDescent="0.2">
      <c r="A1310" s="2">
        <v>12</v>
      </c>
      <c r="B1310" s="1" t="s">
        <v>109</v>
      </c>
      <c r="C1310" s="4">
        <v>19</v>
      </c>
      <c r="D1310" s="8">
        <v>2.83</v>
      </c>
      <c r="E1310" s="4">
        <v>12</v>
      </c>
      <c r="F1310" s="8">
        <v>3.03</v>
      </c>
      <c r="G1310" s="4">
        <v>7</v>
      </c>
      <c r="H1310" s="8">
        <v>2.61</v>
      </c>
      <c r="I1310" s="4">
        <v>0</v>
      </c>
    </row>
    <row r="1311" spans="1:9" x14ac:dyDescent="0.2">
      <c r="A1311" s="2">
        <v>13</v>
      </c>
      <c r="B1311" s="1" t="s">
        <v>130</v>
      </c>
      <c r="C1311" s="4">
        <v>14</v>
      </c>
      <c r="D1311" s="8">
        <v>2.09</v>
      </c>
      <c r="E1311" s="4">
        <v>7</v>
      </c>
      <c r="F1311" s="8">
        <v>1.77</v>
      </c>
      <c r="G1311" s="4">
        <v>7</v>
      </c>
      <c r="H1311" s="8">
        <v>2.61</v>
      </c>
      <c r="I1311" s="4">
        <v>0</v>
      </c>
    </row>
    <row r="1312" spans="1:9" x14ac:dyDescent="0.2">
      <c r="A1312" s="2">
        <v>13</v>
      </c>
      <c r="B1312" s="1" t="s">
        <v>138</v>
      </c>
      <c r="C1312" s="4">
        <v>14</v>
      </c>
      <c r="D1312" s="8">
        <v>2.09</v>
      </c>
      <c r="E1312" s="4">
        <v>5</v>
      </c>
      <c r="F1312" s="8">
        <v>1.26</v>
      </c>
      <c r="G1312" s="4">
        <v>9</v>
      </c>
      <c r="H1312" s="8">
        <v>3.36</v>
      </c>
      <c r="I1312" s="4">
        <v>0</v>
      </c>
    </row>
    <row r="1313" spans="1:9" x14ac:dyDescent="0.2">
      <c r="A1313" s="2">
        <v>15</v>
      </c>
      <c r="B1313" s="1" t="s">
        <v>110</v>
      </c>
      <c r="C1313" s="4">
        <v>12</v>
      </c>
      <c r="D1313" s="8">
        <v>1.79</v>
      </c>
      <c r="E1313" s="4">
        <v>5</v>
      </c>
      <c r="F1313" s="8">
        <v>1.26</v>
      </c>
      <c r="G1313" s="4">
        <v>7</v>
      </c>
      <c r="H1313" s="8">
        <v>2.61</v>
      </c>
      <c r="I1313" s="4">
        <v>0</v>
      </c>
    </row>
    <row r="1314" spans="1:9" x14ac:dyDescent="0.2">
      <c r="A1314" s="2">
        <v>16</v>
      </c>
      <c r="B1314" s="1" t="s">
        <v>135</v>
      </c>
      <c r="C1314" s="4">
        <v>10</v>
      </c>
      <c r="D1314" s="8">
        <v>1.49</v>
      </c>
      <c r="E1314" s="4">
        <v>5</v>
      </c>
      <c r="F1314" s="8">
        <v>1.26</v>
      </c>
      <c r="G1314" s="4">
        <v>5</v>
      </c>
      <c r="H1314" s="8">
        <v>1.87</v>
      </c>
      <c r="I1314" s="4">
        <v>0</v>
      </c>
    </row>
    <row r="1315" spans="1:9" x14ac:dyDescent="0.2">
      <c r="A1315" s="2">
        <v>16</v>
      </c>
      <c r="B1315" s="1" t="s">
        <v>101</v>
      </c>
      <c r="C1315" s="4">
        <v>10</v>
      </c>
      <c r="D1315" s="8">
        <v>1.49</v>
      </c>
      <c r="E1315" s="4">
        <v>5</v>
      </c>
      <c r="F1315" s="8">
        <v>1.26</v>
      </c>
      <c r="G1315" s="4">
        <v>5</v>
      </c>
      <c r="H1315" s="8">
        <v>1.87</v>
      </c>
      <c r="I1315" s="4">
        <v>0</v>
      </c>
    </row>
    <row r="1316" spans="1:9" x14ac:dyDescent="0.2">
      <c r="A1316" s="2">
        <v>16</v>
      </c>
      <c r="B1316" s="1" t="s">
        <v>103</v>
      </c>
      <c r="C1316" s="4">
        <v>10</v>
      </c>
      <c r="D1316" s="8">
        <v>1.49</v>
      </c>
      <c r="E1316" s="4">
        <v>4</v>
      </c>
      <c r="F1316" s="8">
        <v>1.01</v>
      </c>
      <c r="G1316" s="4">
        <v>6</v>
      </c>
      <c r="H1316" s="8">
        <v>2.2400000000000002</v>
      </c>
      <c r="I1316" s="4">
        <v>0</v>
      </c>
    </row>
    <row r="1317" spans="1:9" x14ac:dyDescent="0.2">
      <c r="A1317" s="2">
        <v>19</v>
      </c>
      <c r="B1317" s="1" t="s">
        <v>127</v>
      </c>
      <c r="C1317" s="4">
        <v>9</v>
      </c>
      <c r="D1317" s="8">
        <v>1.34</v>
      </c>
      <c r="E1317" s="4">
        <v>6</v>
      </c>
      <c r="F1317" s="8">
        <v>1.52</v>
      </c>
      <c r="G1317" s="4">
        <v>3</v>
      </c>
      <c r="H1317" s="8">
        <v>1.1200000000000001</v>
      </c>
      <c r="I1317" s="4">
        <v>0</v>
      </c>
    </row>
    <row r="1318" spans="1:9" x14ac:dyDescent="0.2">
      <c r="A1318" s="2">
        <v>19</v>
      </c>
      <c r="B1318" s="1" t="s">
        <v>100</v>
      </c>
      <c r="C1318" s="4">
        <v>9</v>
      </c>
      <c r="D1318" s="8">
        <v>1.34</v>
      </c>
      <c r="E1318" s="4">
        <v>5</v>
      </c>
      <c r="F1318" s="8">
        <v>1.26</v>
      </c>
      <c r="G1318" s="4">
        <v>4</v>
      </c>
      <c r="H1318" s="8">
        <v>1.49</v>
      </c>
      <c r="I1318" s="4">
        <v>0</v>
      </c>
    </row>
    <row r="1319" spans="1:9" x14ac:dyDescent="0.2">
      <c r="A1319" s="2">
        <v>19</v>
      </c>
      <c r="B1319" s="1" t="s">
        <v>117</v>
      </c>
      <c r="C1319" s="4">
        <v>9</v>
      </c>
      <c r="D1319" s="8">
        <v>1.34</v>
      </c>
      <c r="E1319" s="4">
        <v>4</v>
      </c>
      <c r="F1319" s="8">
        <v>1.01</v>
      </c>
      <c r="G1319" s="4">
        <v>5</v>
      </c>
      <c r="H1319" s="8">
        <v>1.87</v>
      </c>
      <c r="I1319" s="4">
        <v>0</v>
      </c>
    </row>
    <row r="1320" spans="1:9" x14ac:dyDescent="0.2">
      <c r="A1320" s="2">
        <v>19</v>
      </c>
      <c r="B1320" s="1" t="s">
        <v>113</v>
      </c>
      <c r="C1320" s="4">
        <v>9</v>
      </c>
      <c r="D1320" s="8">
        <v>1.34</v>
      </c>
      <c r="E1320" s="4">
        <v>6</v>
      </c>
      <c r="F1320" s="8">
        <v>1.52</v>
      </c>
      <c r="G1320" s="4">
        <v>3</v>
      </c>
      <c r="H1320" s="8">
        <v>1.1200000000000001</v>
      </c>
      <c r="I1320" s="4">
        <v>0</v>
      </c>
    </row>
    <row r="1321" spans="1:9" x14ac:dyDescent="0.2">
      <c r="A1321" s="1"/>
      <c r="C1321" s="4"/>
      <c r="D1321" s="8"/>
      <c r="E1321" s="4"/>
      <c r="F1321" s="8"/>
      <c r="G1321" s="4"/>
      <c r="H1321" s="8"/>
      <c r="I1321" s="4"/>
    </row>
    <row r="1322" spans="1:9" x14ac:dyDescent="0.2">
      <c r="A1322" s="1" t="s">
        <v>58</v>
      </c>
      <c r="C1322" s="4"/>
      <c r="D1322" s="8"/>
      <c r="E1322" s="4"/>
      <c r="F1322" s="8"/>
      <c r="G1322" s="4"/>
      <c r="H1322" s="8"/>
      <c r="I1322" s="4"/>
    </row>
    <row r="1323" spans="1:9" x14ac:dyDescent="0.2">
      <c r="A1323" s="2">
        <v>1</v>
      </c>
      <c r="B1323" s="1" t="s">
        <v>98</v>
      </c>
      <c r="C1323" s="4">
        <v>50</v>
      </c>
      <c r="D1323" s="8">
        <v>10.199999999999999</v>
      </c>
      <c r="E1323" s="4">
        <v>22</v>
      </c>
      <c r="F1323" s="8">
        <v>9.65</v>
      </c>
      <c r="G1323" s="4">
        <v>28</v>
      </c>
      <c r="H1323" s="8">
        <v>10.77</v>
      </c>
      <c r="I1323" s="4">
        <v>0</v>
      </c>
    </row>
    <row r="1324" spans="1:9" x14ac:dyDescent="0.2">
      <c r="A1324" s="2">
        <v>2</v>
      </c>
      <c r="B1324" s="1" t="s">
        <v>97</v>
      </c>
      <c r="C1324" s="4">
        <v>48</v>
      </c>
      <c r="D1324" s="8">
        <v>9.8000000000000007</v>
      </c>
      <c r="E1324" s="4">
        <v>23</v>
      </c>
      <c r="F1324" s="8">
        <v>10.09</v>
      </c>
      <c r="G1324" s="4">
        <v>25</v>
      </c>
      <c r="H1324" s="8">
        <v>9.6199999999999992</v>
      </c>
      <c r="I1324" s="4">
        <v>0</v>
      </c>
    </row>
    <row r="1325" spans="1:9" x14ac:dyDescent="0.2">
      <c r="A1325" s="2">
        <v>3</v>
      </c>
      <c r="B1325" s="1" t="s">
        <v>111</v>
      </c>
      <c r="C1325" s="4">
        <v>38</v>
      </c>
      <c r="D1325" s="8">
        <v>7.76</v>
      </c>
      <c r="E1325" s="4">
        <v>36</v>
      </c>
      <c r="F1325" s="8">
        <v>15.79</v>
      </c>
      <c r="G1325" s="4">
        <v>2</v>
      </c>
      <c r="H1325" s="8">
        <v>0.77</v>
      </c>
      <c r="I1325" s="4">
        <v>0</v>
      </c>
    </row>
    <row r="1326" spans="1:9" x14ac:dyDescent="0.2">
      <c r="A1326" s="2">
        <v>4</v>
      </c>
      <c r="B1326" s="1" t="s">
        <v>112</v>
      </c>
      <c r="C1326" s="4">
        <v>35</v>
      </c>
      <c r="D1326" s="8">
        <v>7.14</v>
      </c>
      <c r="E1326" s="4">
        <v>32</v>
      </c>
      <c r="F1326" s="8">
        <v>14.04</v>
      </c>
      <c r="G1326" s="4">
        <v>3</v>
      </c>
      <c r="H1326" s="8">
        <v>1.1499999999999999</v>
      </c>
      <c r="I1326" s="4">
        <v>0</v>
      </c>
    </row>
    <row r="1327" spans="1:9" x14ac:dyDescent="0.2">
      <c r="A1327" s="2">
        <v>5</v>
      </c>
      <c r="B1327" s="1" t="s">
        <v>99</v>
      </c>
      <c r="C1327" s="4">
        <v>33</v>
      </c>
      <c r="D1327" s="8">
        <v>6.73</v>
      </c>
      <c r="E1327" s="4">
        <v>12</v>
      </c>
      <c r="F1327" s="8">
        <v>5.26</v>
      </c>
      <c r="G1327" s="4">
        <v>21</v>
      </c>
      <c r="H1327" s="8">
        <v>8.08</v>
      </c>
      <c r="I1327" s="4">
        <v>0</v>
      </c>
    </row>
    <row r="1328" spans="1:9" x14ac:dyDescent="0.2">
      <c r="A1328" s="2">
        <v>6</v>
      </c>
      <c r="B1328" s="1" t="s">
        <v>100</v>
      </c>
      <c r="C1328" s="4">
        <v>26</v>
      </c>
      <c r="D1328" s="8">
        <v>5.31</v>
      </c>
      <c r="E1328" s="4">
        <v>5</v>
      </c>
      <c r="F1328" s="8">
        <v>2.19</v>
      </c>
      <c r="G1328" s="4">
        <v>21</v>
      </c>
      <c r="H1328" s="8">
        <v>8.08</v>
      </c>
      <c r="I1328" s="4">
        <v>0</v>
      </c>
    </row>
    <row r="1329" spans="1:9" x14ac:dyDescent="0.2">
      <c r="A1329" s="2">
        <v>7</v>
      </c>
      <c r="B1329" s="1" t="s">
        <v>116</v>
      </c>
      <c r="C1329" s="4">
        <v>21</v>
      </c>
      <c r="D1329" s="8">
        <v>4.29</v>
      </c>
      <c r="E1329" s="4">
        <v>12</v>
      </c>
      <c r="F1329" s="8">
        <v>5.26</v>
      </c>
      <c r="G1329" s="4">
        <v>9</v>
      </c>
      <c r="H1329" s="8">
        <v>3.46</v>
      </c>
      <c r="I1329" s="4">
        <v>0</v>
      </c>
    </row>
    <row r="1330" spans="1:9" x14ac:dyDescent="0.2">
      <c r="A1330" s="2">
        <v>8</v>
      </c>
      <c r="B1330" s="1" t="s">
        <v>105</v>
      </c>
      <c r="C1330" s="4">
        <v>18</v>
      </c>
      <c r="D1330" s="8">
        <v>3.67</v>
      </c>
      <c r="E1330" s="4">
        <v>14</v>
      </c>
      <c r="F1330" s="8">
        <v>6.14</v>
      </c>
      <c r="G1330" s="4">
        <v>4</v>
      </c>
      <c r="H1330" s="8">
        <v>1.54</v>
      </c>
      <c r="I1330" s="4">
        <v>0</v>
      </c>
    </row>
    <row r="1331" spans="1:9" x14ac:dyDescent="0.2">
      <c r="A1331" s="2">
        <v>8</v>
      </c>
      <c r="B1331" s="1" t="s">
        <v>106</v>
      </c>
      <c r="C1331" s="4">
        <v>18</v>
      </c>
      <c r="D1331" s="8">
        <v>3.67</v>
      </c>
      <c r="E1331" s="4">
        <v>7</v>
      </c>
      <c r="F1331" s="8">
        <v>3.07</v>
      </c>
      <c r="G1331" s="4">
        <v>11</v>
      </c>
      <c r="H1331" s="8">
        <v>4.2300000000000004</v>
      </c>
      <c r="I1331" s="4">
        <v>0</v>
      </c>
    </row>
    <row r="1332" spans="1:9" x14ac:dyDescent="0.2">
      <c r="A1332" s="2">
        <v>10</v>
      </c>
      <c r="B1332" s="1" t="s">
        <v>114</v>
      </c>
      <c r="C1332" s="4">
        <v>14</v>
      </c>
      <c r="D1332" s="8">
        <v>2.86</v>
      </c>
      <c r="E1332" s="4">
        <v>10</v>
      </c>
      <c r="F1332" s="8">
        <v>4.3899999999999997</v>
      </c>
      <c r="G1332" s="4">
        <v>3</v>
      </c>
      <c r="H1332" s="8">
        <v>1.1499999999999999</v>
      </c>
      <c r="I1332" s="4">
        <v>0</v>
      </c>
    </row>
    <row r="1333" spans="1:9" x14ac:dyDescent="0.2">
      <c r="A1333" s="2">
        <v>11</v>
      </c>
      <c r="B1333" s="1" t="s">
        <v>125</v>
      </c>
      <c r="C1333" s="4">
        <v>13</v>
      </c>
      <c r="D1333" s="8">
        <v>2.65</v>
      </c>
      <c r="E1333" s="4">
        <v>7</v>
      </c>
      <c r="F1333" s="8">
        <v>3.07</v>
      </c>
      <c r="G1333" s="4">
        <v>6</v>
      </c>
      <c r="H1333" s="8">
        <v>2.31</v>
      </c>
      <c r="I1333" s="4">
        <v>0</v>
      </c>
    </row>
    <row r="1334" spans="1:9" x14ac:dyDescent="0.2">
      <c r="A1334" s="2">
        <v>12</v>
      </c>
      <c r="B1334" s="1" t="s">
        <v>115</v>
      </c>
      <c r="C1334" s="4">
        <v>11</v>
      </c>
      <c r="D1334" s="8">
        <v>2.2400000000000002</v>
      </c>
      <c r="E1334" s="4">
        <v>8</v>
      </c>
      <c r="F1334" s="8">
        <v>3.51</v>
      </c>
      <c r="G1334" s="4">
        <v>3</v>
      </c>
      <c r="H1334" s="8">
        <v>1.1499999999999999</v>
      </c>
      <c r="I1334" s="4">
        <v>0</v>
      </c>
    </row>
    <row r="1335" spans="1:9" x14ac:dyDescent="0.2">
      <c r="A1335" s="2">
        <v>13</v>
      </c>
      <c r="B1335" s="1" t="s">
        <v>120</v>
      </c>
      <c r="C1335" s="4">
        <v>10</v>
      </c>
      <c r="D1335" s="8">
        <v>2.04</v>
      </c>
      <c r="E1335" s="4">
        <v>2</v>
      </c>
      <c r="F1335" s="8">
        <v>0.88</v>
      </c>
      <c r="G1335" s="4">
        <v>8</v>
      </c>
      <c r="H1335" s="8">
        <v>3.08</v>
      </c>
      <c r="I1335" s="4">
        <v>0</v>
      </c>
    </row>
    <row r="1336" spans="1:9" x14ac:dyDescent="0.2">
      <c r="A1336" s="2">
        <v>13</v>
      </c>
      <c r="B1336" s="1" t="s">
        <v>104</v>
      </c>
      <c r="C1336" s="4">
        <v>10</v>
      </c>
      <c r="D1336" s="8">
        <v>2.04</v>
      </c>
      <c r="E1336" s="4">
        <v>8</v>
      </c>
      <c r="F1336" s="8">
        <v>3.51</v>
      </c>
      <c r="G1336" s="4">
        <v>2</v>
      </c>
      <c r="H1336" s="8">
        <v>0.77</v>
      </c>
      <c r="I1336" s="4">
        <v>0</v>
      </c>
    </row>
    <row r="1337" spans="1:9" x14ac:dyDescent="0.2">
      <c r="A1337" s="2">
        <v>15</v>
      </c>
      <c r="B1337" s="1" t="s">
        <v>128</v>
      </c>
      <c r="C1337" s="4">
        <v>8</v>
      </c>
      <c r="D1337" s="8">
        <v>1.63</v>
      </c>
      <c r="E1337" s="4">
        <v>3</v>
      </c>
      <c r="F1337" s="8">
        <v>1.32</v>
      </c>
      <c r="G1337" s="4">
        <v>5</v>
      </c>
      <c r="H1337" s="8">
        <v>1.92</v>
      </c>
      <c r="I1337" s="4">
        <v>0</v>
      </c>
    </row>
    <row r="1338" spans="1:9" x14ac:dyDescent="0.2">
      <c r="A1338" s="2">
        <v>15</v>
      </c>
      <c r="B1338" s="1" t="s">
        <v>102</v>
      </c>
      <c r="C1338" s="4">
        <v>8</v>
      </c>
      <c r="D1338" s="8">
        <v>1.63</v>
      </c>
      <c r="E1338" s="4">
        <v>1</v>
      </c>
      <c r="F1338" s="8">
        <v>0.44</v>
      </c>
      <c r="G1338" s="4">
        <v>7</v>
      </c>
      <c r="H1338" s="8">
        <v>2.69</v>
      </c>
      <c r="I1338" s="4">
        <v>0</v>
      </c>
    </row>
    <row r="1339" spans="1:9" x14ac:dyDescent="0.2">
      <c r="A1339" s="2">
        <v>17</v>
      </c>
      <c r="B1339" s="1" t="s">
        <v>101</v>
      </c>
      <c r="C1339" s="4">
        <v>7</v>
      </c>
      <c r="D1339" s="8">
        <v>1.43</v>
      </c>
      <c r="E1339" s="4">
        <v>2</v>
      </c>
      <c r="F1339" s="8">
        <v>0.88</v>
      </c>
      <c r="G1339" s="4">
        <v>5</v>
      </c>
      <c r="H1339" s="8">
        <v>1.92</v>
      </c>
      <c r="I1339" s="4">
        <v>0</v>
      </c>
    </row>
    <row r="1340" spans="1:9" x14ac:dyDescent="0.2">
      <c r="A1340" s="2">
        <v>17</v>
      </c>
      <c r="B1340" s="1" t="s">
        <v>140</v>
      </c>
      <c r="C1340" s="4">
        <v>7</v>
      </c>
      <c r="D1340" s="8">
        <v>1.43</v>
      </c>
      <c r="E1340" s="4">
        <v>0</v>
      </c>
      <c r="F1340" s="8">
        <v>0</v>
      </c>
      <c r="G1340" s="4">
        <v>7</v>
      </c>
      <c r="H1340" s="8">
        <v>2.69</v>
      </c>
      <c r="I1340" s="4">
        <v>0</v>
      </c>
    </row>
    <row r="1341" spans="1:9" x14ac:dyDescent="0.2">
      <c r="A1341" s="2">
        <v>17</v>
      </c>
      <c r="B1341" s="1" t="s">
        <v>110</v>
      </c>
      <c r="C1341" s="4">
        <v>7</v>
      </c>
      <c r="D1341" s="8">
        <v>1.43</v>
      </c>
      <c r="E1341" s="4">
        <v>1</v>
      </c>
      <c r="F1341" s="8">
        <v>0.44</v>
      </c>
      <c r="G1341" s="4">
        <v>6</v>
      </c>
      <c r="H1341" s="8">
        <v>2.31</v>
      </c>
      <c r="I1341" s="4">
        <v>0</v>
      </c>
    </row>
    <row r="1342" spans="1:9" x14ac:dyDescent="0.2">
      <c r="A1342" s="2">
        <v>20</v>
      </c>
      <c r="B1342" s="1" t="s">
        <v>139</v>
      </c>
      <c r="C1342" s="4">
        <v>6</v>
      </c>
      <c r="D1342" s="8">
        <v>1.22</v>
      </c>
      <c r="E1342" s="4">
        <v>1</v>
      </c>
      <c r="F1342" s="8">
        <v>0.44</v>
      </c>
      <c r="G1342" s="4">
        <v>5</v>
      </c>
      <c r="H1342" s="8">
        <v>1.92</v>
      </c>
      <c r="I1342" s="4">
        <v>0</v>
      </c>
    </row>
    <row r="1343" spans="1:9" x14ac:dyDescent="0.2">
      <c r="A1343" s="2">
        <v>20</v>
      </c>
      <c r="B1343" s="1" t="s">
        <v>121</v>
      </c>
      <c r="C1343" s="4">
        <v>6</v>
      </c>
      <c r="D1343" s="8">
        <v>1.22</v>
      </c>
      <c r="E1343" s="4">
        <v>3</v>
      </c>
      <c r="F1343" s="8">
        <v>1.32</v>
      </c>
      <c r="G1343" s="4">
        <v>3</v>
      </c>
      <c r="H1343" s="8">
        <v>1.1499999999999999</v>
      </c>
      <c r="I1343" s="4">
        <v>0</v>
      </c>
    </row>
    <row r="1344" spans="1:9" x14ac:dyDescent="0.2">
      <c r="A1344" s="2">
        <v>20</v>
      </c>
      <c r="B1344" s="1" t="s">
        <v>103</v>
      </c>
      <c r="C1344" s="4">
        <v>6</v>
      </c>
      <c r="D1344" s="8">
        <v>1.22</v>
      </c>
      <c r="E1344" s="4">
        <v>4</v>
      </c>
      <c r="F1344" s="8">
        <v>1.75</v>
      </c>
      <c r="G1344" s="4">
        <v>2</v>
      </c>
      <c r="H1344" s="8">
        <v>0.77</v>
      </c>
      <c r="I1344" s="4">
        <v>0</v>
      </c>
    </row>
    <row r="1345" spans="1:9" x14ac:dyDescent="0.2">
      <c r="A1345" s="2">
        <v>20</v>
      </c>
      <c r="B1345" s="1" t="s">
        <v>107</v>
      </c>
      <c r="C1345" s="4">
        <v>6</v>
      </c>
      <c r="D1345" s="8">
        <v>1.22</v>
      </c>
      <c r="E1345" s="4">
        <v>1</v>
      </c>
      <c r="F1345" s="8">
        <v>0.44</v>
      </c>
      <c r="G1345" s="4">
        <v>5</v>
      </c>
      <c r="H1345" s="8">
        <v>1.92</v>
      </c>
      <c r="I1345" s="4">
        <v>0</v>
      </c>
    </row>
    <row r="1346" spans="1:9" x14ac:dyDescent="0.2">
      <c r="A1346" s="2">
        <v>20</v>
      </c>
      <c r="B1346" s="1" t="s">
        <v>108</v>
      </c>
      <c r="C1346" s="4">
        <v>6</v>
      </c>
      <c r="D1346" s="8">
        <v>1.22</v>
      </c>
      <c r="E1346" s="4">
        <v>0</v>
      </c>
      <c r="F1346" s="8">
        <v>0</v>
      </c>
      <c r="G1346" s="4">
        <v>6</v>
      </c>
      <c r="H1346" s="8">
        <v>2.31</v>
      </c>
      <c r="I1346" s="4">
        <v>0</v>
      </c>
    </row>
    <row r="1347" spans="1:9" x14ac:dyDescent="0.2">
      <c r="A1347" s="2">
        <v>20</v>
      </c>
      <c r="B1347" s="1" t="s">
        <v>109</v>
      </c>
      <c r="C1347" s="4">
        <v>6</v>
      </c>
      <c r="D1347" s="8">
        <v>1.22</v>
      </c>
      <c r="E1347" s="4">
        <v>2</v>
      </c>
      <c r="F1347" s="8">
        <v>0.88</v>
      </c>
      <c r="G1347" s="4">
        <v>4</v>
      </c>
      <c r="H1347" s="8">
        <v>1.54</v>
      </c>
      <c r="I1347" s="4">
        <v>0</v>
      </c>
    </row>
    <row r="1348" spans="1:9" x14ac:dyDescent="0.2">
      <c r="A1348" s="1"/>
      <c r="C1348" s="4"/>
      <c r="D1348" s="8"/>
      <c r="E1348" s="4"/>
      <c r="F1348" s="8"/>
      <c r="G1348" s="4"/>
      <c r="H1348" s="8"/>
      <c r="I1348" s="4"/>
    </row>
    <row r="1349" spans="1:9" x14ac:dyDescent="0.2">
      <c r="A1349" s="1" t="s">
        <v>59</v>
      </c>
      <c r="C1349" s="4"/>
      <c r="D1349" s="8"/>
      <c r="E1349" s="4"/>
      <c r="F1349" s="8"/>
      <c r="G1349" s="4"/>
      <c r="H1349" s="8"/>
      <c r="I1349" s="4"/>
    </row>
    <row r="1350" spans="1:9" x14ac:dyDescent="0.2">
      <c r="A1350" s="2">
        <v>1</v>
      </c>
      <c r="B1350" s="1" t="s">
        <v>97</v>
      </c>
      <c r="C1350" s="4">
        <v>50</v>
      </c>
      <c r="D1350" s="8">
        <v>12.63</v>
      </c>
      <c r="E1350" s="4">
        <v>22</v>
      </c>
      <c r="F1350" s="8">
        <v>10.84</v>
      </c>
      <c r="G1350" s="4">
        <v>28</v>
      </c>
      <c r="H1350" s="8">
        <v>14.81</v>
      </c>
      <c r="I1350" s="4">
        <v>0</v>
      </c>
    </row>
    <row r="1351" spans="1:9" x14ac:dyDescent="0.2">
      <c r="A1351" s="2">
        <v>2</v>
      </c>
      <c r="B1351" s="1" t="s">
        <v>98</v>
      </c>
      <c r="C1351" s="4">
        <v>43</v>
      </c>
      <c r="D1351" s="8">
        <v>10.86</v>
      </c>
      <c r="E1351" s="4">
        <v>26</v>
      </c>
      <c r="F1351" s="8">
        <v>12.81</v>
      </c>
      <c r="G1351" s="4">
        <v>17</v>
      </c>
      <c r="H1351" s="8">
        <v>8.99</v>
      </c>
      <c r="I1351" s="4">
        <v>0</v>
      </c>
    </row>
    <row r="1352" spans="1:9" x14ac:dyDescent="0.2">
      <c r="A1352" s="2">
        <v>3</v>
      </c>
      <c r="B1352" s="1" t="s">
        <v>111</v>
      </c>
      <c r="C1352" s="4">
        <v>33</v>
      </c>
      <c r="D1352" s="8">
        <v>8.33</v>
      </c>
      <c r="E1352" s="4">
        <v>29</v>
      </c>
      <c r="F1352" s="8">
        <v>14.29</v>
      </c>
      <c r="G1352" s="4">
        <v>4</v>
      </c>
      <c r="H1352" s="8">
        <v>2.12</v>
      </c>
      <c r="I1352" s="4">
        <v>0</v>
      </c>
    </row>
    <row r="1353" spans="1:9" x14ac:dyDescent="0.2">
      <c r="A1353" s="2">
        <v>4</v>
      </c>
      <c r="B1353" s="1" t="s">
        <v>112</v>
      </c>
      <c r="C1353" s="4">
        <v>27</v>
      </c>
      <c r="D1353" s="8">
        <v>6.82</v>
      </c>
      <c r="E1353" s="4">
        <v>27</v>
      </c>
      <c r="F1353" s="8">
        <v>13.3</v>
      </c>
      <c r="G1353" s="4">
        <v>0</v>
      </c>
      <c r="H1353" s="8">
        <v>0</v>
      </c>
      <c r="I1353" s="4">
        <v>0</v>
      </c>
    </row>
    <row r="1354" spans="1:9" x14ac:dyDescent="0.2">
      <c r="A1354" s="2">
        <v>5</v>
      </c>
      <c r="B1354" s="1" t="s">
        <v>99</v>
      </c>
      <c r="C1354" s="4">
        <v>24</v>
      </c>
      <c r="D1354" s="8">
        <v>6.06</v>
      </c>
      <c r="E1354" s="4">
        <v>10</v>
      </c>
      <c r="F1354" s="8">
        <v>4.93</v>
      </c>
      <c r="G1354" s="4">
        <v>14</v>
      </c>
      <c r="H1354" s="8">
        <v>7.41</v>
      </c>
      <c r="I1354" s="4">
        <v>0</v>
      </c>
    </row>
    <row r="1355" spans="1:9" x14ac:dyDescent="0.2">
      <c r="A1355" s="2">
        <v>6</v>
      </c>
      <c r="B1355" s="1" t="s">
        <v>106</v>
      </c>
      <c r="C1355" s="4">
        <v>22</v>
      </c>
      <c r="D1355" s="8">
        <v>5.56</v>
      </c>
      <c r="E1355" s="4">
        <v>10</v>
      </c>
      <c r="F1355" s="8">
        <v>4.93</v>
      </c>
      <c r="G1355" s="4">
        <v>12</v>
      </c>
      <c r="H1355" s="8">
        <v>6.35</v>
      </c>
      <c r="I1355" s="4">
        <v>0</v>
      </c>
    </row>
    <row r="1356" spans="1:9" x14ac:dyDescent="0.2">
      <c r="A1356" s="2">
        <v>7</v>
      </c>
      <c r="B1356" s="1" t="s">
        <v>105</v>
      </c>
      <c r="C1356" s="4">
        <v>16</v>
      </c>
      <c r="D1356" s="8">
        <v>4.04</v>
      </c>
      <c r="E1356" s="4">
        <v>12</v>
      </c>
      <c r="F1356" s="8">
        <v>5.91</v>
      </c>
      <c r="G1356" s="4">
        <v>4</v>
      </c>
      <c r="H1356" s="8">
        <v>2.12</v>
      </c>
      <c r="I1356" s="4">
        <v>0</v>
      </c>
    </row>
    <row r="1357" spans="1:9" x14ac:dyDescent="0.2">
      <c r="A1357" s="2">
        <v>8</v>
      </c>
      <c r="B1357" s="1" t="s">
        <v>104</v>
      </c>
      <c r="C1357" s="4">
        <v>14</v>
      </c>
      <c r="D1357" s="8">
        <v>3.54</v>
      </c>
      <c r="E1357" s="4">
        <v>10</v>
      </c>
      <c r="F1357" s="8">
        <v>4.93</v>
      </c>
      <c r="G1357" s="4">
        <v>4</v>
      </c>
      <c r="H1357" s="8">
        <v>2.12</v>
      </c>
      <c r="I1357" s="4">
        <v>0</v>
      </c>
    </row>
    <row r="1358" spans="1:9" x14ac:dyDescent="0.2">
      <c r="A1358" s="2">
        <v>8</v>
      </c>
      <c r="B1358" s="1" t="s">
        <v>116</v>
      </c>
      <c r="C1358" s="4">
        <v>14</v>
      </c>
      <c r="D1358" s="8">
        <v>3.54</v>
      </c>
      <c r="E1358" s="4">
        <v>10</v>
      </c>
      <c r="F1358" s="8">
        <v>4.93</v>
      </c>
      <c r="G1358" s="4">
        <v>4</v>
      </c>
      <c r="H1358" s="8">
        <v>2.12</v>
      </c>
      <c r="I1358" s="4">
        <v>0</v>
      </c>
    </row>
    <row r="1359" spans="1:9" x14ac:dyDescent="0.2">
      <c r="A1359" s="2">
        <v>10</v>
      </c>
      <c r="B1359" s="1" t="s">
        <v>108</v>
      </c>
      <c r="C1359" s="4">
        <v>10</v>
      </c>
      <c r="D1359" s="8">
        <v>2.5299999999999998</v>
      </c>
      <c r="E1359" s="4">
        <v>0</v>
      </c>
      <c r="F1359" s="8">
        <v>0</v>
      </c>
      <c r="G1359" s="4">
        <v>10</v>
      </c>
      <c r="H1359" s="8">
        <v>5.29</v>
      </c>
      <c r="I1359" s="4">
        <v>0</v>
      </c>
    </row>
    <row r="1360" spans="1:9" x14ac:dyDescent="0.2">
      <c r="A1360" s="2">
        <v>11</v>
      </c>
      <c r="B1360" s="1" t="s">
        <v>100</v>
      </c>
      <c r="C1360" s="4">
        <v>9</v>
      </c>
      <c r="D1360" s="8">
        <v>2.27</v>
      </c>
      <c r="E1360" s="4">
        <v>1</v>
      </c>
      <c r="F1360" s="8">
        <v>0.49</v>
      </c>
      <c r="G1360" s="4">
        <v>8</v>
      </c>
      <c r="H1360" s="8">
        <v>4.2300000000000004</v>
      </c>
      <c r="I1360" s="4">
        <v>0</v>
      </c>
    </row>
    <row r="1361" spans="1:9" x14ac:dyDescent="0.2">
      <c r="A1361" s="2">
        <v>11</v>
      </c>
      <c r="B1361" s="1" t="s">
        <v>135</v>
      </c>
      <c r="C1361" s="4">
        <v>9</v>
      </c>
      <c r="D1361" s="8">
        <v>2.27</v>
      </c>
      <c r="E1361" s="4">
        <v>3</v>
      </c>
      <c r="F1361" s="8">
        <v>1.48</v>
      </c>
      <c r="G1361" s="4">
        <v>6</v>
      </c>
      <c r="H1361" s="8">
        <v>3.17</v>
      </c>
      <c r="I1361" s="4">
        <v>0</v>
      </c>
    </row>
    <row r="1362" spans="1:9" x14ac:dyDescent="0.2">
      <c r="A1362" s="2">
        <v>13</v>
      </c>
      <c r="B1362" s="1" t="s">
        <v>101</v>
      </c>
      <c r="C1362" s="4">
        <v>7</v>
      </c>
      <c r="D1362" s="8">
        <v>1.77</v>
      </c>
      <c r="E1362" s="4">
        <v>2</v>
      </c>
      <c r="F1362" s="8">
        <v>0.99</v>
      </c>
      <c r="G1362" s="4">
        <v>5</v>
      </c>
      <c r="H1362" s="8">
        <v>2.65</v>
      </c>
      <c r="I1362" s="4">
        <v>0</v>
      </c>
    </row>
    <row r="1363" spans="1:9" x14ac:dyDescent="0.2">
      <c r="A1363" s="2">
        <v>13</v>
      </c>
      <c r="B1363" s="1" t="s">
        <v>117</v>
      </c>
      <c r="C1363" s="4">
        <v>7</v>
      </c>
      <c r="D1363" s="8">
        <v>1.77</v>
      </c>
      <c r="E1363" s="4">
        <v>0</v>
      </c>
      <c r="F1363" s="8">
        <v>0</v>
      </c>
      <c r="G1363" s="4">
        <v>7</v>
      </c>
      <c r="H1363" s="8">
        <v>3.7</v>
      </c>
      <c r="I1363" s="4">
        <v>0</v>
      </c>
    </row>
    <row r="1364" spans="1:9" x14ac:dyDescent="0.2">
      <c r="A1364" s="2">
        <v>13</v>
      </c>
      <c r="B1364" s="1" t="s">
        <v>109</v>
      </c>
      <c r="C1364" s="4">
        <v>7</v>
      </c>
      <c r="D1364" s="8">
        <v>1.77</v>
      </c>
      <c r="E1364" s="4">
        <v>6</v>
      </c>
      <c r="F1364" s="8">
        <v>2.96</v>
      </c>
      <c r="G1364" s="4">
        <v>1</v>
      </c>
      <c r="H1364" s="8">
        <v>0.53</v>
      </c>
      <c r="I1364" s="4">
        <v>0</v>
      </c>
    </row>
    <row r="1365" spans="1:9" x14ac:dyDescent="0.2">
      <c r="A1365" s="2">
        <v>13</v>
      </c>
      <c r="B1365" s="1" t="s">
        <v>114</v>
      </c>
      <c r="C1365" s="4">
        <v>7</v>
      </c>
      <c r="D1365" s="8">
        <v>1.77</v>
      </c>
      <c r="E1365" s="4">
        <v>6</v>
      </c>
      <c r="F1365" s="8">
        <v>2.96</v>
      </c>
      <c r="G1365" s="4">
        <v>0</v>
      </c>
      <c r="H1365" s="8">
        <v>0</v>
      </c>
      <c r="I1365" s="4">
        <v>1</v>
      </c>
    </row>
    <row r="1366" spans="1:9" x14ac:dyDescent="0.2">
      <c r="A1366" s="2">
        <v>13</v>
      </c>
      <c r="B1366" s="1" t="s">
        <v>115</v>
      </c>
      <c r="C1366" s="4">
        <v>7</v>
      </c>
      <c r="D1366" s="8">
        <v>1.77</v>
      </c>
      <c r="E1366" s="4">
        <v>6</v>
      </c>
      <c r="F1366" s="8">
        <v>2.96</v>
      </c>
      <c r="G1366" s="4">
        <v>1</v>
      </c>
      <c r="H1366" s="8">
        <v>0.53</v>
      </c>
      <c r="I1366" s="4">
        <v>0</v>
      </c>
    </row>
    <row r="1367" spans="1:9" x14ac:dyDescent="0.2">
      <c r="A1367" s="2">
        <v>13</v>
      </c>
      <c r="B1367" s="1" t="s">
        <v>119</v>
      </c>
      <c r="C1367" s="4">
        <v>7</v>
      </c>
      <c r="D1367" s="8">
        <v>1.77</v>
      </c>
      <c r="E1367" s="4">
        <v>0</v>
      </c>
      <c r="F1367" s="8">
        <v>0</v>
      </c>
      <c r="G1367" s="4">
        <v>7</v>
      </c>
      <c r="H1367" s="8">
        <v>3.7</v>
      </c>
      <c r="I1367" s="4">
        <v>0</v>
      </c>
    </row>
    <row r="1368" spans="1:9" x14ac:dyDescent="0.2">
      <c r="A1368" s="2">
        <v>19</v>
      </c>
      <c r="B1368" s="1" t="s">
        <v>138</v>
      </c>
      <c r="C1368" s="4">
        <v>6</v>
      </c>
      <c r="D1368" s="8">
        <v>1.52</v>
      </c>
      <c r="E1368" s="4">
        <v>2</v>
      </c>
      <c r="F1368" s="8">
        <v>0.99</v>
      </c>
      <c r="G1368" s="4">
        <v>4</v>
      </c>
      <c r="H1368" s="8">
        <v>2.12</v>
      </c>
      <c r="I1368" s="4">
        <v>0</v>
      </c>
    </row>
    <row r="1369" spans="1:9" x14ac:dyDescent="0.2">
      <c r="A1369" s="2">
        <v>20</v>
      </c>
      <c r="B1369" s="1" t="s">
        <v>126</v>
      </c>
      <c r="C1369" s="4">
        <v>5</v>
      </c>
      <c r="D1369" s="8">
        <v>1.26</v>
      </c>
      <c r="E1369" s="4">
        <v>1</v>
      </c>
      <c r="F1369" s="8">
        <v>0.49</v>
      </c>
      <c r="G1369" s="4">
        <v>4</v>
      </c>
      <c r="H1369" s="8">
        <v>2.12</v>
      </c>
      <c r="I1369" s="4">
        <v>0</v>
      </c>
    </row>
    <row r="1370" spans="1:9" x14ac:dyDescent="0.2">
      <c r="A1370" s="2">
        <v>20</v>
      </c>
      <c r="B1370" s="1" t="s">
        <v>118</v>
      </c>
      <c r="C1370" s="4">
        <v>5</v>
      </c>
      <c r="D1370" s="8">
        <v>1.26</v>
      </c>
      <c r="E1370" s="4">
        <v>0</v>
      </c>
      <c r="F1370" s="8">
        <v>0</v>
      </c>
      <c r="G1370" s="4">
        <v>4</v>
      </c>
      <c r="H1370" s="8">
        <v>2.12</v>
      </c>
      <c r="I1370" s="4">
        <v>0</v>
      </c>
    </row>
    <row r="1371" spans="1:9" x14ac:dyDescent="0.2">
      <c r="A1371" s="1"/>
      <c r="C1371" s="4"/>
      <c r="D1371" s="8"/>
      <c r="E1371" s="4"/>
      <c r="F1371" s="8"/>
      <c r="G1371" s="4"/>
      <c r="H1371" s="8"/>
      <c r="I1371" s="4"/>
    </row>
    <row r="1372" spans="1:9" x14ac:dyDescent="0.2">
      <c r="A1372" s="1" t="s">
        <v>60</v>
      </c>
      <c r="C1372" s="4"/>
      <c r="D1372" s="8"/>
      <c r="E1372" s="4"/>
      <c r="F1372" s="8"/>
      <c r="G1372" s="4"/>
      <c r="H1372" s="8"/>
      <c r="I1372" s="4"/>
    </row>
    <row r="1373" spans="1:9" x14ac:dyDescent="0.2">
      <c r="A1373" s="2">
        <v>1</v>
      </c>
      <c r="B1373" s="1" t="s">
        <v>97</v>
      </c>
      <c r="C1373" s="4">
        <v>29</v>
      </c>
      <c r="D1373" s="8">
        <v>10.78</v>
      </c>
      <c r="E1373" s="4">
        <v>12</v>
      </c>
      <c r="F1373" s="8">
        <v>8.57</v>
      </c>
      <c r="G1373" s="4">
        <v>17</v>
      </c>
      <c r="H1373" s="8">
        <v>13.39</v>
      </c>
      <c r="I1373" s="4">
        <v>0</v>
      </c>
    </row>
    <row r="1374" spans="1:9" x14ac:dyDescent="0.2">
      <c r="A1374" s="2">
        <v>2</v>
      </c>
      <c r="B1374" s="1" t="s">
        <v>112</v>
      </c>
      <c r="C1374" s="4">
        <v>21</v>
      </c>
      <c r="D1374" s="8">
        <v>7.81</v>
      </c>
      <c r="E1374" s="4">
        <v>19</v>
      </c>
      <c r="F1374" s="8">
        <v>13.57</v>
      </c>
      <c r="G1374" s="4">
        <v>2</v>
      </c>
      <c r="H1374" s="8">
        <v>1.57</v>
      </c>
      <c r="I1374" s="4">
        <v>0</v>
      </c>
    </row>
    <row r="1375" spans="1:9" x14ac:dyDescent="0.2">
      <c r="A1375" s="2">
        <v>3</v>
      </c>
      <c r="B1375" s="1" t="s">
        <v>98</v>
      </c>
      <c r="C1375" s="4">
        <v>19</v>
      </c>
      <c r="D1375" s="8">
        <v>7.06</v>
      </c>
      <c r="E1375" s="4">
        <v>10</v>
      </c>
      <c r="F1375" s="8">
        <v>7.14</v>
      </c>
      <c r="G1375" s="4">
        <v>9</v>
      </c>
      <c r="H1375" s="8">
        <v>7.09</v>
      </c>
      <c r="I1375" s="4">
        <v>0</v>
      </c>
    </row>
    <row r="1376" spans="1:9" x14ac:dyDescent="0.2">
      <c r="A1376" s="2">
        <v>3</v>
      </c>
      <c r="B1376" s="1" t="s">
        <v>99</v>
      </c>
      <c r="C1376" s="4">
        <v>19</v>
      </c>
      <c r="D1376" s="8">
        <v>7.06</v>
      </c>
      <c r="E1376" s="4">
        <v>6</v>
      </c>
      <c r="F1376" s="8">
        <v>4.29</v>
      </c>
      <c r="G1376" s="4">
        <v>13</v>
      </c>
      <c r="H1376" s="8">
        <v>10.24</v>
      </c>
      <c r="I1376" s="4">
        <v>0</v>
      </c>
    </row>
    <row r="1377" spans="1:9" x14ac:dyDescent="0.2">
      <c r="A1377" s="2">
        <v>3</v>
      </c>
      <c r="B1377" s="1" t="s">
        <v>114</v>
      </c>
      <c r="C1377" s="4">
        <v>19</v>
      </c>
      <c r="D1377" s="8">
        <v>7.06</v>
      </c>
      <c r="E1377" s="4">
        <v>16</v>
      </c>
      <c r="F1377" s="8">
        <v>11.43</v>
      </c>
      <c r="G1377" s="4">
        <v>2</v>
      </c>
      <c r="H1377" s="8">
        <v>1.57</v>
      </c>
      <c r="I1377" s="4">
        <v>0</v>
      </c>
    </row>
    <row r="1378" spans="1:9" x14ac:dyDescent="0.2">
      <c r="A1378" s="2">
        <v>6</v>
      </c>
      <c r="B1378" s="1" t="s">
        <v>111</v>
      </c>
      <c r="C1378" s="4">
        <v>15</v>
      </c>
      <c r="D1378" s="8">
        <v>5.58</v>
      </c>
      <c r="E1378" s="4">
        <v>13</v>
      </c>
      <c r="F1378" s="8">
        <v>9.2899999999999991</v>
      </c>
      <c r="G1378" s="4">
        <v>2</v>
      </c>
      <c r="H1378" s="8">
        <v>1.57</v>
      </c>
      <c r="I1378" s="4">
        <v>0</v>
      </c>
    </row>
    <row r="1379" spans="1:9" x14ac:dyDescent="0.2">
      <c r="A1379" s="2">
        <v>7</v>
      </c>
      <c r="B1379" s="1" t="s">
        <v>106</v>
      </c>
      <c r="C1379" s="4">
        <v>14</v>
      </c>
      <c r="D1379" s="8">
        <v>5.2</v>
      </c>
      <c r="E1379" s="4">
        <v>7</v>
      </c>
      <c r="F1379" s="8">
        <v>5</v>
      </c>
      <c r="G1379" s="4">
        <v>7</v>
      </c>
      <c r="H1379" s="8">
        <v>5.51</v>
      </c>
      <c r="I1379" s="4">
        <v>0</v>
      </c>
    </row>
    <row r="1380" spans="1:9" x14ac:dyDescent="0.2">
      <c r="A1380" s="2">
        <v>8</v>
      </c>
      <c r="B1380" s="1" t="s">
        <v>109</v>
      </c>
      <c r="C1380" s="4">
        <v>11</v>
      </c>
      <c r="D1380" s="8">
        <v>4.09</v>
      </c>
      <c r="E1380" s="4">
        <v>9</v>
      </c>
      <c r="F1380" s="8">
        <v>6.43</v>
      </c>
      <c r="G1380" s="4">
        <v>2</v>
      </c>
      <c r="H1380" s="8">
        <v>1.57</v>
      </c>
      <c r="I1380" s="4">
        <v>0</v>
      </c>
    </row>
    <row r="1381" spans="1:9" x14ac:dyDescent="0.2">
      <c r="A1381" s="2">
        <v>9</v>
      </c>
      <c r="B1381" s="1" t="s">
        <v>104</v>
      </c>
      <c r="C1381" s="4">
        <v>10</v>
      </c>
      <c r="D1381" s="8">
        <v>3.72</v>
      </c>
      <c r="E1381" s="4">
        <v>8</v>
      </c>
      <c r="F1381" s="8">
        <v>5.71</v>
      </c>
      <c r="G1381" s="4">
        <v>2</v>
      </c>
      <c r="H1381" s="8">
        <v>1.57</v>
      </c>
      <c r="I1381" s="4">
        <v>0</v>
      </c>
    </row>
    <row r="1382" spans="1:9" x14ac:dyDescent="0.2">
      <c r="A1382" s="2">
        <v>10</v>
      </c>
      <c r="B1382" s="1" t="s">
        <v>100</v>
      </c>
      <c r="C1382" s="4">
        <v>9</v>
      </c>
      <c r="D1382" s="8">
        <v>3.35</v>
      </c>
      <c r="E1382" s="4">
        <v>6</v>
      </c>
      <c r="F1382" s="8">
        <v>4.29</v>
      </c>
      <c r="G1382" s="4">
        <v>3</v>
      </c>
      <c r="H1382" s="8">
        <v>2.36</v>
      </c>
      <c r="I1382" s="4">
        <v>0</v>
      </c>
    </row>
    <row r="1383" spans="1:9" x14ac:dyDescent="0.2">
      <c r="A1383" s="2">
        <v>11</v>
      </c>
      <c r="B1383" s="1" t="s">
        <v>110</v>
      </c>
      <c r="C1383" s="4">
        <v>7</v>
      </c>
      <c r="D1383" s="8">
        <v>2.6</v>
      </c>
      <c r="E1383" s="4">
        <v>2</v>
      </c>
      <c r="F1383" s="8">
        <v>1.43</v>
      </c>
      <c r="G1383" s="4">
        <v>5</v>
      </c>
      <c r="H1383" s="8">
        <v>3.94</v>
      </c>
      <c r="I1383" s="4">
        <v>0</v>
      </c>
    </row>
    <row r="1384" spans="1:9" x14ac:dyDescent="0.2">
      <c r="A1384" s="2">
        <v>12</v>
      </c>
      <c r="B1384" s="1" t="s">
        <v>115</v>
      </c>
      <c r="C1384" s="4">
        <v>6</v>
      </c>
      <c r="D1384" s="8">
        <v>2.23</v>
      </c>
      <c r="E1384" s="4">
        <v>6</v>
      </c>
      <c r="F1384" s="8">
        <v>4.29</v>
      </c>
      <c r="G1384" s="4">
        <v>0</v>
      </c>
      <c r="H1384" s="8">
        <v>0</v>
      </c>
      <c r="I1384" s="4">
        <v>0</v>
      </c>
    </row>
    <row r="1385" spans="1:9" x14ac:dyDescent="0.2">
      <c r="A1385" s="2">
        <v>13</v>
      </c>
      <c r="B1385" s="1" t="s">
        <v>121</v>
      </c>
      <c r="C1385" s="4">
        <v>5</v>
      </c>
      <c r="D1385" s="8">
        <v>1.86</v>
      </c>
      <c r="E1385" s="4">
        <v>2</v>
      </c>
      <c r="F1385" s="8">
        <v>1.43</v>
      </c>
      <c r="G1385" s="4">
        <v>3</v>
      </c>
      <c r="H1385" s="8">
        <v>2.36</v>
      </c>
      <c r="I1385" s="4">
        <v>0</v>
      </c>
    </row>
    <row r="1386" spans="1:9" x14ac:dyDescent="0.2">
      <c r="A1386" s="2">
        <v>13</v>
      </c>
      <c r="B1386" s="1" t="s">
        <v>101</v>
      </c>
      <c r="C1386" s="4">
        <v>5</v>
      </c>
      <c r="D1386" s="8">
        <v>1.86</v>
      </c>
      <c r="E1386" s="4">
        <v>0</v>
      </c>
      <c r="F1386" s="8">
        <v>0</v>
      </c>
      <c r="G1386" s="4">
        <v>5</v>
      </c>
      <c r="H1386" s="8">
        <v>3.94</v>
      </c>
      <c r="I1386" s="4">
        <v>0</v>
      </c>
    </row>
    <row r="1387" spans="1:9" x14ac:dyDescent="0.2">
      <c r="A1387" s="2">
        <v>13</v>
      </c>
      <c r="B1387" s="1" t="s">
        <v>108</v>
      </c>
      <c r="C1387" s="4">
        <v>5</v>
      </c>
      <c r="D1387" s="8">
        <v>1.86</v>
      </c>
      <c r="E1387" s="4">
        <v>1</v>
      </c>
      <c r="F1387" s="8">
        <v>0.71</v>
      </c>
      <c r="G1387" s="4">
        <v>4</v>
      </c>
      <c r="H1387" s="8">
        <v>3.15</v>
      </c>
      <c r="I1387" s="4">
        <v>0</v>
      </c>
    </row>
    <row r="1388" spans="1:9" x14ac:dyDescent="0.2">
      <c r="A1388" s="2">
        <v>13</v>
      </c>
      <c r="B1388" s="1" t="s">
        <v>124</v>
      </c>
      <c r="C1388" s="4">
        <v>5</v>
      </c>
      <c r="D1388" s="8">
        <v>1.86</v>
      </c>
      <c r="E1388" s="4">
        <v>4</v>
      </c>
      <c r="F1388" s="8">
        <v>2.86</v>
      </c>
      <c r="G1388" s="4">
        <v>0</v>
      </c>
      <c r="H1388" s="8">
        <v>0</v>
      </c>
      <c r="I1388" s="4">
        <v>0</v>
      </c>
    </row>
    <row r="1389" spans="1:9" x14ac:dyDescent="0.2">
      <c r="A1389" s="2">
        <v>13</v>
      </c>
      <c r="B1389" s="1" t="s">
        <v>119</v>
      </c>
      <c r="C1389" s="4">
        <v>5</v>
      </c>
      <c r="D1389" s="8">
        <v>1.86</v>
      </c>
      <c r="E1389" s="4">
        <v>1</v>
      </c>
      <c r="F1389" s="8">
        <v>0.71</v>
      </c>
      <c r="G1389" s="4">
        <v>4</v>
      </c>
      <c r="H1389" s="8">
        <v>3.15</v>
      </c>
      <c r="I1389" s="4">
        <v>0</v>
      </c>
    </row>
    <row r="1390" spans="1:9" x14ac:dyDescent="0.2">
      <c r="A1390" s="2">
        <v>18</v>
      </c>
      <c r="B1390" s="1" t="s">
        <v>135</v>
      </c>
      <c r="C1390" s="4">
        <v>4</v>
      </c>
      <c r="D1390" s="8">
        <v>1.49</v>
      </c>
      <c r="E1390" s="4">
        <v>1</v>
      </c>
      <c r="F1390" s="8">
        <v>0.71</v>
      </c>
      <c r="G1390" s="4">
        <v>3</v>
      </c>
      <c r="H1390" s="8">
        <v>2.36</v>
      </c>
      <c r="I1390" s="4">
        <v>0</v>
      </c>
    </row>
    <row r="1391" spans="1:9" x14ac:dyDescent="0.2">
      <c r="A1391" s="2">
        <v>18</v>
      </c>
      <c r="B1391" s="1" t="s">
        <v>123</v>
      </c>
      <c r="C1391" s="4">
        <v>4</v>
      </c>
      <c r="D1391" s="8">
        <v>1.49</v>
      </c>
      <c r="E1391" s="4">
        <v>0</v>
      </c>
      <c r="F1391" s="8">
        <v>0</v>
      </c>
      <c r="G1391" s="4">
        <v>4</v>
      </c>
      <c r="H1391" s="8">
        <v>3.15</v>
      </c>
      <c r="I1391" s="4">
        <v>0</v>
      </c>
    </row>
    <row r="1392" spans="1:9" x14ac:dyDescent="0.2">
      <c r="A1392" s="2">
        <v>18</v>
      </c>
      <c r="B1392" s="1" t="s">
        <v>102</v>
      </c>
      <c r="C1392" s="4">
        <v>4</v>
      </c>
      <c r="D1392" s="8">
        <v>1.49</v>
      </c>
      <c r="E1392" s="4">
        <v>0</v>
      </c>
      <c r="F1392" s="8">
        <v>0</v>
      </c>
      <c r="G1392" s="4">
        <v>4</v>
      </c>
      <c r="H1392" s="8">
        <v>3.15</v>
      </c>
      <c r="I1392" s="4">
        <v>0</v>
      </c>
    </row>
    <row r="1393" spans="1:9" x14ac:dyDescent="0.2">
      <c r="A1393" s="2">
        <v>18</v>
      </c>
      <c r="B1393" s="1" t="s">
        <v>116</v>
      </c>
      <c r="C1393" s="4">
        <v>4</v>
      </c>
      <c r="D1393" s="8">
        <v>1.49</v>
      </c>
      <c r="E1393" s="4">
        <v>4</v>
      </c>
      <c r="F1393" s="8">
        <v>2.86</v>
      </c>
      <c r="G1393" s="4">
        <v>0</v>
      </c>
      <c r="H1393" s="8">
        <v>0</v>
      </c>
      <c r="I1393" s="4">
        <v>0</v>
      </c>
    </row>
    <row r="1394" spans="1:9" x14ac:dyDescent="0.2">
      <c r="A1394" s="1"/>
      <c r="C1394" s="4"/>
      <c r="D1394" s="8"/>
      <c r="E1394" s="4"/>
      <c r="F1394" s="8"/>
      <c r="G1394" s="4"/>
      <c r="H1394" s="8"/>
      <c r="I1394" s="4"/>
    </row>
    <row r="1395" spans="1:9" x14ac:dyDescent="0.2">
      <c r="A1395" s="1" t="s">
        <v>61</v>
      </c>
      <c r="C1395" s="4"/>
      <c r="D1395" s="8"/>
      <c r="E1395" s="4"/>
      <c r="F1395" s="8"/>
      <c r="G1395" s="4"/>
      <c r="H1395" s="8"/>
      <c r="I1395" s="4"/>
    </row>
    <row r="1396" spans="1:9" x14ac:dyDescent="0.2">
      <c r="A1396" s="2">
        <v>1</v>
      </c>
      <c r="B1396" s="1" t="s">
        <v>130</v>
      </c>
      <c r="C1396" s="4">
        <v>43</v>
      </c>
      <c r="D1396" s="8">
        <v>12.29</v>
      </c>
      <c r="E1396" s="4">
        <v>23</v>
      </c>
      <c r="F1396" s="8">
        <v>11.79</v>
      </c>
      <c r="G1396" s="4">
        <v>20</v>
      </c>
      <c r="H1396" s="8">
        <v>13.42</v>
      </c>
      <c r="I1396" s="4">
        <v>0</v>
      </c>
    </row>
    <row r="1397" spans="1:9" x14ac:dyDescent="0.2">
      <c r="A1397" s="2">
        <v>2</v>
      </c>
      <c r="B1397" s="1" t="s">
        <v>111</v>
      </c>
      <c r="C1397" s="4">
        <v>33</v>
      </c>
      <c r="D1397" s="8">
        <v>9.43</v>
      </c>
      <c r="E1397" s="4">
        <v>30</v>
      </c>
      <c r="F1397" s="8">
        <v>15.38</v>
      </c>
      <c r="G1397" s="4">
        <v>3</v>
      </c>
      <c r="H1397" s="8">
        <v>2.0099999999999998</v>
      </c>
      <c r="I1397" s="4">
        <v>0</v>
      </c>
    </row>
    <row r="1398" spans="1:9" x14ac:dyDescent="0.2">
      <c r="A1398" s="2">
        <v>3</v>
      </c>
      <c r="B1398" s="1" t="s">
        <v>97</v>
      </c>
      <c r="C1398" s="4">
        <v>31</v>
      </c>
      <c r="D1398" s="8">
        <v>8.86</v>
      </c>
      <c r="E1398" s="4">
        <v>11</v>
      </c>
      <c r="F1398" s="8">
        <v>5.64</v>
      </c>
      <c r="G1398" s="4">
        <v>20</v>
      </c>
      <c r="H1398" s="8">
        <v>13.42</v>
      </c>
      <c r="I1398" s="4">
        <v>0</v>
      </c>
    </row>
    <row r="1399" spans="1:9" x14ac:dyDescent="0.2">
      <c r="A1399" s="2">
        <v>4</v>
      </c>
      <c r="B1399" s="1" t="s">
        <v>98</v>
      </c>
      <c r="C1399" s="4">
        <v>27</v>
      </c>
      <c r="D1399" s="8">
        <v>7.71</v>
      </c>
      <c r="E1399" s="4">
        <v>18</v>
      </c>
      <c r="F1399" s="8">
        <v>9.23</v>
      </c>
      <c r="G1399" s="4">
        <v>9</v>
      </c>
      <c r="H1399" s="8">
        <v>6.04</v>
      </c>
      <c r="I1399" s="4">
        <v>0</v>
      </c>
    </row>
    <row r="1400" spans="1:9" x14ac:dyDescent="0.2">
      <c r="A1400" s="2">
        <v>5</v>
      </c>
      <c r="B1400" s="1" t="s">
        <v>104</v>
      </c>
      <c r="C1400" s="4">
        <v>22</v>
      </c>
      <c r="D1400" s="8">
        <v>6.29</v>
      </c>
      <c r="E1400" s="4">
        <v>20</v>
      </c>
      <c r="F1400" s="8">
        <v>10.26</v>
      </c>
      <c r="G1400" s="4">
        <v>2</v>
      </c>
      <c r="H1400" s="8">
        <v>1.34</v>
      </c>
      <c r="I1400" s="4">
        <v>0</v>
      </c>
    </row>
    <row r="1401" spans="1:9" x14ac:dyDescent="0.2">
      <c r="A1401" s="2">
        <v>5</v>
      </c>
      <c r="B1401" s="1" t="s">
        <v>106</v>
      </c>
      <c r="C1401" s="4">
        <v>22</v>
      </c>
      <c r="D1401" s="8">
        <v>6.29</v>
      </c>
      <c r="E1401" s="4">
        <v>13</v>
      </c>
      <c r="F1401" s="8">
        <v>6.67</v>
      </c>
      <c r="G1401" s="4">
        <v>9</v>
      </c>
      <c r="H1401" s="8">
        <v>6.04</v>
      </c>
      <c r="I1401" s="4">
        <v>0</v>
      </c>
    </row>
    <row r="1402" spans="1:9" x14ac:dyDescent="0.2">
      <c r="A1402" s="2">
        <v>7</v>
      </c>
      <c r="B1402" s="1" t="s">
        <v>112</v>
      </c>
      <c r="C1402" s="4">
        <v>19</v>
      </c>
      <c r="D1402" s="8">
        <v>5.43</v>
      </c>
      <c r="E1402" s="4">
        <v>16</v>
      </c>
      <c r="F1402" s="8">
        <v>8.2100000000000009</v>
      </c>
      <c r="G1402" s="4">
        <v>3</v>
      </c>
      <c r="H1402" s="8">
        <v>2.0099999999999998</v>
      </c>
      <c r="I1402" s="4">
        <v>0</v>
      </c>
    </row>
    <row r="1403" spans="1:9" x14ac:dyDescent="0.2">
      <c r="A1403" s="2">
        <v>8</v>
      </c>
      <c r="B1403" s="1" t="s">
        <v>100</v>
      </c>
      <c r="C1403" s="4">
        <v>16</v>
      </c>
      <c r="D1403" s="8">
        <v>4.57</v>
      </c>
      <c r="E1403" s="4">
        <v>7</v>
      </c>
      <c r="F1403" s="8">
        <v>3.59</v>
      </c>
      <c r="G1403" s="4">
        <v>9</v>
      </c>
      <c r="H1403" s="8">
        <v>6.04</v>
      </c>
      <c r="I1403" s="4">
        <v>0</v>
      </c>
    </row>
    <row r="1404" spans="1:9" x14ac:dyDescent="0.2">
      <c r="A1404" s="2">
        <v>9</v>
      </c>
      <c r="B1404" s="1" t="s">
        <v>105</v>
      </c>
      <c r="C1404" s="4">
        <v>10</v>
      </c>
      <c r="D1404" s="8">
        <v>2.86</v>
      </c>
      <c r="E1404" s="4">
        <v>7</v>
      </c>
      <c r="F1404" s="8">
        <v>3.59</v>
      </c>
      <c r="G1404" s="4">
        <v>3</v>
      </c>
      <c r="H1404" s="8">
        <v>2.0099999999999998</v>
      </c>
      <c r="I1404" s="4">
        <v>0</v>
      </c>
    </row>
    <row r="1405" spans="1:9" x14ac:dyDescent="0.2">
      <c r="A1405" s="2">
        <v>10</v>
      </c>
      <c r="B1405" s="1" t="s">
        <v>99</v>
      </c>
      <c r="C1405" s="4">
        <v>8</v>
      </c>
      <c r="D1405" s="8">
        <v>2.29</v>
      </c>
      <c r="E1405" s="4">
        <v>4</v>
      </c>
      <c r="F1405" s="8">
        <v>2.0499999999999998</v>
      </c>
      <c r="G1405" s="4">
        <v>4</v>
      </c>
      <c r="H1405" s="8">
        <v>2.68</v>
      </c>
      <c r="I1405" s="4">
        <v>0</v>
      </c>
    </row>
    <row r="1406" spans="1:9" x14ac:dyDescent="0.2">
      <c r="A1406" s="2">
        <v>10</v>
      </c>
      <c r="B1406" s="1" t="s">
        <v>129</v>
      </c>
      <c r="C1406" s="4">
        <v>8</v>
      </c>
      <c r="D1406" s="8">
        <v>2.29</v>
      </c>
      <c r="E1406" s="4">
        <v>2</v>
      </c>
      <c r="F1406" s="8">
        <v>1.03</v>
      </c>
      <c r="G1406" s="4">
        <v>6</v>
      </c>
      <c r="H1406" s="8">
        <v>4.03</v>
      </c>
      <c r="I1406" s="4">
        <v>0</v>
      </c>
    </row>
    <row r="1407" spans="1:9" x14ac:dyDescent="0.2">
      <c r="A1407" s="2">
        <v>10</v>
      </c>
      <c r="B1407" s="1" t="s">
        <v>114</v>
      </c>
      <c r="C1407" s="4">
        <v>8</v>
      </c>
      <c r="D1407" s="8">
        <v>2.29</v>
      </c>
      <c r="E1407" s="4">
        <v>4</v>
      </c>
      <c r="F1407" s="8">
        <v>2.0499999999999998</v>
      </c>
      <c r="G1407" s="4">
        <v>1</v>
      </c>
      <c r="H1407" s="8">
        <v>0.67</v>
      </c>
      <c r="I1407" s="4">
        <v>0</v>
      </c>
    </row>
    <row r="1408" spans="1:9" x14ac:dyDescent="0.2">
      <c r="A1408" s="2">
        <v>10</v>
      </c>
      <c r="B1408" s="1" t="s">
        <v>116</v>
      </c>
      <c r="C1408" s="4">
        <v>8</v>
      </c>
      <c r="D1408" s="8">
        <v>2.29</v>
      </c>
      <c r="E1408" s="4">
        <v>6</v>
      </c>
      <c r="F1408" s="8">
        <v>3.08</v>
      </c>
      <c r="G1408" s="4">
        <v>2</v>
      </c>
      <c r="H1408" s="8">
        <v>1.34</v>
      </c>
      <c r="I1408" s="4">
        <v>0</v>
      </c>
    </row>
    <row r="1409" spans="1:9" x14ac:dyDescent="0.2">
      <c r="A1409" s="2">
        <v>14</v>
      </c>
      <c r="B1409" s="1" t="s">
        <v>120</v>
      </c>
      <c r="C1409" s="4">
        <v>7</v>
      </c>
      <c r="D1409" s="8">
        <v>2</v>
      </c>
      <c r="E1409" s="4">
        <v>1</v>
      </c>
      <c r="F1409" s="8">
        <v>0.51</v>
      </c>
      <c r="G1409" s="4">
        <v>6</v>
      </c>
      <c r="H1409" s="8">
        <v>4.03</v>
      </c>
      <c r="I1409" s="4">
        <v>0</v>
      </c>
    </row>
    <row r="1410" spans="1:9" x14ac:dyDescent="0.2">
      <c r="A1410" s="2">
        <v>14</v>
      </c>
      <c r="B1410" s="1" t="s">
        <v>101</v>
      </c>
      <c r="C1410" s="4">
        <v>7</v>
      </c>
      <c r="D1410" s="8">
        <v>2</v>
      </c>
      <c r="E1410" s="4">
        <v>3</v>
      </c>
      <c r="F1410" s="8">
        <v>1.54</v>
      </c>
      <c r="G1410" s="4">
        <v>4</v>
      </c>
      <c r="H1410" s="8">
        <v>2.68</v>
      </c>
      <c r="I1410" s="4">
        <v>0</v>
      </c>
    </row>
    <row r="1411" spans="1:9" x14ac:dyDescent="0.2">
      <c r="A1411" s="2">
        <v>14</v>
      </c>
      <c r="B1411" s="1" t="s">
        <v>108</v>
      </c>
      <c r="C1411" s="4">
        <v>7</v>
      </c>
      <c r="D1411" s="8">
        <v>2</v>
      </c>
      <c r="E1411" s="4">
        <v>0</v>
      </c>
      <c r="F1411" s="8">
        <v>0</v>
      </c>
      <c r="G1411" s="4">
        <v>7</v>
      </c>
      <c r="H1411" s="8">
        <v>4.7</v>
      </c>
      <c r="I1411" s="4">
        <v>0</v>
      </c>
    </row>
    <row r="1412" spans="1:9" x14ac:dyDescent="0.2">
      <c r="A1412" s="2">
        <v>17</v>
      </c>
      <c r="B1412" s="1" t="s">
        <v>135</v>
      </c>
      <c r="C1412" s="4">
        <v>6</v>
      </c>
      <c r="D1412" s="8">
        <v>1.71</v>
      </c>
      <c r="E1412" s="4">
        <v>3</v>
      </c>
      <c r="F1412" s="8">
        <v>1.54</v>
      </c>
      <c r="G1412" s="4">
        <v>3</v>
      </c>
      <c r="H1412" s="8">
        <v>2.0099999999999998</v>
      </c>
      <c r="I1412" s="4">
        <v>0</v>
      </c>
    </row>
    <row r="1413" spans="1:9" x14ac:dyDescent="0.2">
      <c r="A1413" s="2">
        <v>17</v>
      </c>
      <c r="B1413" s="1" t="s">
        <v>117</v>
      </c>
      <c r="C1413" s="4">
        <v>6</v>
      </c>
      <c r="D1413" s="8">
        <v>1.71</v>
      </c>
      <c r="E1413" s="4">
        <v>2</v>
      </c>
      <c r="F1413" s="8">
        <v>1.03</v>
      </c>
      <c r="G1413" s="4">
        <v>4</v>
      </c>
      <c r="H1413" s="8">
        <v>2.68</v>
      </c>
      <c r="I1413" s="4">
        <v>0</v>
      </c>
    </row>
    <row r="1414" spans="1:9" x14ac:dyDescent="0.2">
      <c r="A1414" s="2">
        <v>17</v>
      </c>
      <c r="B1414" s="1" t="s">
        <v>115</v>
      </c>
      <c r="C1414" s="4">
        <v>6</v>
      </c>
      <c r="D1414" s="8">
        <v>1.71</v>
      </c>
      <c r="E1414" s="4">
        <v>6</v>
      </c>
      <c r="F1414" s="8">
        <v>3.08</v>
      </c>
      <c r="G1414" s="4">
        <v>0</v>
      </c>
      <c r="H1414" s="8">
        <v>0</v>
      </c>
      <c r="I1414" s="4">
        <v>0</v>
      </c>
    </row>
    <row r="1415" spans="1:9" x14ac:dyDescent="0.2">
      <c r="A1415" s="2">
        <v>20</v>
      </c>
      <c r="B1415" s="1" t="s">
        <v>139</v>
      </c>
      <c r="C1415" s="4">
        <v>4</v>
      </c>
      <c r="D1415" s="8">
        <v>1.1399999999999999</v>
      </c>
      <c r="E1415" s="4">
        <v>3</v>
      </c>
      <c r="F1415" s="8">
        <v>1.54</v>
      </c>
      <c r="G1415" s="4">
        <v>1</v>
      </c>
      <c r="H1415" s="8">
        <v>0.67</v>
      </c>
      <c r="I1415" s="4">
        <v>0</v>
      </c>
    </row>
    <row r="1416" spans="1:9" x14ac:dyDescent="0.2">
      <c r="A1416" s="2">
        <v>20</v>
      </c>
      <c r="B1416" s="1" t="s">
        <v>113</v>
      </c>
      <c r="C1416" s="4">
        <v>4</v>
      </c>
      <c r="D1416" s="8">
        <v>1.1399999999999999</v>
      </c>
      <c r="E1416" s="4">
        <v>2</v>
      </c>
      <c r="F1416" s="8">
        <v>1.03</v>
      </c>
      <c r="G1416" s="4">
        <v>2</v>
      </c>
      <c r="H1416" s="8">
        <v>1.34</v>
      </c>
      <c r="I1416" s="4">
        <v>0</v>
      </c>
    </row>
    <row r="1417" spans="1:9" x14ac:dyDescent="0.2">
      <c r="A1417" s="1"/>
      <c r="C1417" s="4"/>
      <c r="D1417" s="8"/>
      <c r="E1417" s="4"/>
      <c r="F1417" s="8"/>
      <c r="G1417" s="4"/>
      <c r="H1417" s="8"/>
      <c r="I1417" s="4"/>
    </row>
    <row r="1418" spans="1:9" x14ac:dyDescent="0.2">
      <c r="A1418" s="1" t="s">
        <v>62</v>
      </c>
      <c r="C1418" s="4"/>
      <c r="D1418" s="8"/>
      <c r="E1418" s="4"/>
      <c r="F1418" s="8"/>
      <c r="G1418" s="4"/>
      <c r="H1418" s="8"/>
      <c r="I1418" s="4"/>
    </row>
    <row r="1419" spans="1:9" x14ac:dyDescent="0.2">
      <c r="A1419" s="2">
        <v>1</v>
      </c>
      <c r="B1419" s="1" t="s">
        <v>108</v>
      </c>
      <c r="C1419" s="4">
        <v>29</v>
      </c>
      <c r="D1419" s="8">
        <v>14.15</v>
      </c>
      <c r="E1419" s="4">
        <v>23</v>
      </c>
      <c r="F1419" s="8">
        <v>20</v>
      </c>
      <c r="G1419" s="4">
        <v>6</v>
      </c>
      <c r="H1419" s="8">
        <v>6.98</v>
      </c>
      <c r="I1419" s="4">
        <v>0</v>
      </c>
    </row>
    <row r="1420" spans="1:9" x14ac:dyDescent="0.2">
      <c r="A1420" s="2">
        <v>2</v>
      </c>
      <c r="B1420" s="1" t="s">
        <v>111</v>
      </c>
      <c r="C1420" s="4">
        <v>18</v>
      </c>
      <c r="D1420" s="8">
        <v>8.7799999999999994</v>
      </c>
      <c r="E1420" s="4">
        <v>16</v>
      </c>
      <c r="F1420" s="8">
        <v>13.91</v>
      </c>
      <c r="G1420" s="4">
        <v>2</v>
      </c>
      <c r="H1420" s="8">
        <v>2.33</v>
      </c>
      <c r="I1420" s="4">
        <v>0</v>
      </c>
    </row>
    <row r="1421" spans="1:9" x14ac:dyDescent="0.2">
      <c r="A1421" s="2">
        <v>2</v>
      </c>
      <c r="B1421" s="1" t="s">
        <v>112</v>
      </c>
      <c r="C1421" s="4">
        <v>18</v>
      </c>
      <c r="D1421" s="8">
        <v>8.7799999999999994</v>
      </c>
      <c r="E1421" s="4">
        <v>15</v>
      </c>
      <c r="F1421" s="8">
        <v>13.04</v>
      </c>
      <c r="G1421" s="4">
        <v>3</v>
      </c>
      <c r="H1421" s="8">
        <v>3.49</v>
      </c>
      <c r="I1421" s="4">
        <v>0</v>
      </c>
    </row>
    <row r="1422" spans="1:9" x14ac:dyDescent="0.2">
      <c r="A1422" s="2">
        <v>4</v>
      </c>
      <c r="B1422" s="1" t="s">
        <v>97</v>
      </c>
      <c r="C1422" s="4">
        <v>17</v>
      </c>
      <c r="D1422" s="8">
        <v>8.2899999999999991</v>
      </c>
      <c r="E1422" s="4">
        <v>3</v>
      </c>
      <c r="F1422" s="8">
        <v>2.61</v>
      </c>
      <c r="G1422" s="4">
        <v>14</v>
      </c>
      <c r="H1422" s="8">
        <v>16.28</v>
      </c>
      <c r="I1422" s="4">
        <v>0</v>
      </c>
    </row>
    <row r="1423" spans="1:9" x14ac:dyDescent="0.2">
      <c r="A1423" s="2">
        <v>4</v>
      </c>
      <c r="B1423" s="1" t="s">
        <v>98</v>
      </c>
      <c r="C1423" s="4">
        <v>17</v>
      </c>
      <c r="D1423" s="8">
        <v>8.2899999999999991</v>
      </c>
      <c r="E1423" s="4">
        <v>11</v>
      </c>
      <c r="F1423" s="8">
        <v>9.57</v>
      </c>
      <c r="G1423" s="4">
        <v>6</v>
      </c>
      <c r="H1423" s="8">
        <v>6.98</v>
      </c>
      <c r="I1423" s="4">
        <v>0</v>
      </c>
    </row>
    <row r="1424" spans="1:9" x14ac:dyDescent="0.2">
      <c r="A1424" s="2">
        <v>6</v>
      </c>
      <c r="B1424" s="1" t="s">
        <v>106</v>
      </c>
      <c r="C1424" s="4">
        <v>12</v>
      </c>
      <c r="D1424" s="8">
        <v>5.85</v>
      </c>
      <c r="E1424" s="4">
        <v>7</v>
      </c>
      <c r="F1424" s="8">
        <v>6.09</v>
      </c>
      <c r="G1424" s="4">
        <v>5</v>
      </c>
      <c r="H1424" s="8">
        <v>5.81</v>
      </c>
      <c r="I1424" s="4">
        <v>0</v>
      </c>
    </row>
    <row r="1425" spans="1:9" x14ac:dyDescent="0.2">
      <c r="A1425" s="2">
        <v>7</v>
      </c>
      <c r="B1425" s="1" t="s">
        <v>99</v>
      </c>
      <c r="C1425" s="4">
        <v>9</v>
      </c>
      <c r="D1425" s="8">
        <v>4.3899999999999997</v>
      </c>
      <c r="E1425" s="4">
        <v>1</v>
      </c>
      <c r="F1425" s="8">
        <v>0.87</v>
      </c>
      <c r="G1425" s="4">
        <v>8</v>
      </c>
      <c r="H1425" s="8">
        <v>9.3000000000000007</v>
      </c>
      <c r="I1425" s="4">
        <v>0</v>
      </c>
    </row>
    <row r="1426" spans="1:9" x14ac:dyDescent="0.2">
      <c r="A1426" s="2">
        <v>8</v>
      </c>
      <c r="B1426" s="1" t="s">
        <v>115</v>
      </c>
      <c r="C1426" s="4">
        <v>6</v>
      </c>
      <c r="D1426" s="8">
        <v>2.93</v>
      </c>
      <c r="E1426" s="4">
        <v>6</v>
      </c>
      <c r="F1426" s="8">
        <v>5.22</v>
      </c>
      <c r="G1426" s="4">
        <v>0</v>
      </c>
      <c r="H1426" s="8">
        <v>0</v>
      </c>
      <c r="I1426" s="4">
        <v>0</v>
      </c>
    </row>
    <row r="1427" spans="1:9" x14ac:dyDescent="0.2">
      <c r="A1427" s="2">
        <v>8</v>
      </c>
      <c r="B1427" s="1" t="s">
        <v>116</v>
      </c>
      <c r="C1427" s="4">
        <v>6</v>
      </c>
      <c r="D1427" s="8">
        <v>2.93</v>
      </c>
      <c r="E1427" s="4">
        <v>4</v>
      </c>
      <c r="F1427" s="8">
        <v>3.48</v>
      </c>
      <c r="G1427" s="4">
        <v>2</v>
      </c>
      <c r="H1427" s="8">
        <v>2.33</v>
      </c>
      <c r="I1427" s="4">
        <v>0</v>
      </c>
    </row>
    <row r="1428" spans="1:9" x14ac:dyDescent="0.2">
      <c r="A1428" s="2">
        <v>10</v>
      </c>
      <c r="B1428" s="1" t="s">
        <v>104</v>
      </c>
      <c r="C1428" s="4">
        <v>4</v>
      </c>
      <c r="D1428" s="8">
        <v>1.95</v>
      </c>
      <c r="E1428" s="4">
        <v>2</v>
      </c>
      <c r="F1428" s="8">
        <v>1.74</v>
      </c>
      <c r="G1428" s="4">
        <v>2</v>
      </c>
      <c r="H1428" s="8">
        <v>2.33</v>
      </c>
      <c r="I1428" s="4">
        <v>0</v>
      </c>
    </row>
    <row r="1429" spans="1:9" x14ac:dyDescent="0.2">
      <c r="A1429" s="2">
        <v>10</v>
      </c>
      <c r="B1429" s="1" t="s">
        <v>142</v>
      </c>
      <c r="C1429" s="4">
        <v>4</v>
      </c>
      <c r="D1429" s="8">
        <v>1.95</v>
      </c>
      <c r="E1429" s="4">
        <v>4</v>
      </c>
      <c r="F1429" s="8">
        <v>3.48</v>
      </c>
      <c r="G1429" s="4">
        <v>0</v>
      </c>
      <c r="H1429" s="8">
        <v>0</v>
      </c>
      <c r="I1429" s="4">
        <v>0</v>
      </c>
    </row>
    <row r="1430" spans="1:9" x14ac:dyDescent="0.2">
      <c r="A1430" s="2">
        <v>10</v>
      </c>
      <c r="B1430" s="1" t="s">
        <v>113</v>
      </c>
      <c r="C1430" s="4">
        <v>4</v>
      </c>
      <c r="D1430" s="8">
        <v>1.95</v>
      </c>
      <c r="E1430" s="4">
        <v>3</v>
      </c>
      <c r="F1430" s="8">
        <v>2.61</v>
      </c>
      <c r="G1430" s="4">
        <v>1</v>
      </c>
      <c r="H1430" s="8">
        <v>1.1599999999999999</v>
      </c>
      <c r="I1430" s="4">
        <v>0</v>
      </c>
    </row>
    <row r="1431" spans="1:9" x14ac:dyDescent="0.2">
      <c r="A1431" s="2">
        <v>13</v>
      </c>
      <c r="B1431" s="1" t="s">
        <v>139</v>
      </c>
      <c r="C1431" s="4">
        <v>3</v>
      </c>
      <c r="D1431" s="8">
        <v>1.46</v>
      </c>
      <c r="E1431" s="4">
        <v>1</v>
      </c>
      <c r="F1431" s="8">
        <v>0.87</v>
      </c>
      <c r="G1431" s="4">
        <v>2</v>
      </c>
      <c r="H1431" s="8">
        <v>2.33</v>
      </c>
      <c r="I1431" s="4">
        <v>0</v>
      </c>
    </row>
    <row r="1432" spans="1:9" x14ac:dyDescent="0.2">
      <c r="A1432" s="2">
        <v>13</v>
      </c>
      <c r="B1432" s="1" t="s">
        <v>127</v>
      </c>
      <c r="C1432" s="4">
        <v>3</v>
      </c>
      <c r="D1432" s="8">
        <v>1.46</v>
      </c>
      <c r="E1432" s="4">
        <v>0</v>
      </c>
      <c r="F1432" s="8">
        <v>0</v>
      </c>
      <c r="G1432" s="4">
        <v>3</v>
      </c>
      <c r="H1432" s="8">
        <v>3.49</v>
      </c>
      <c r="I1432" s="4">
        <v>0</v>
      </c>
    </row>
    <row r="1433" spans="1:9" x14ac:dyDescent="0.2">
      <c r="A1433" s="2">
        <v>13</v>
      </c>
      <c r="B1433" s="1" t="s">
        <v>129</v>
      </c>
      <c r="C1433" s="4">
        <v>3</v>
      </c>
      <c r="D1433" s="8">
        <v>1.46</v>
      </c>
      <c r="E1433" s="4">
        <v>1</v>
      </c>
      <c r="F1433" s="8">
        <v>0.87</v>
      </c>
      <c r="G1433" s="4">
        <v>2</v>
      </c>
      <c r="H1433" s="8">
        <v>2.33</v>
      </c>
      <c r="I1433" s="4">
        <v>0</v>
      </c>
    </row>
    <row r="1434" spans="1:9" x14ac:dyDescent="0.2">
      <c r="A1434" s="2">
        <v>13</v>
      </c>
      <c r="B1434" s="1" t="s">
        <v>125</v>
      </c>
      <c r="C1434" s="4">
        <v>3</v>
      </c>
      <c r="D1434" s="8">
        <v>1.46</v>
      </c>
      <c r="E1434" s="4">
        <v>1</v>
      </c>
      <c r="F1434" s="8">
        <v>0.87</v>
      </c>
      <c r="G1434" s="4">
        <v>2</v>
      </c>
      <c r="H1434" s="8">
        <v>2.33</v>
      </c>
      <c r="I1434" s="4">
        <v>0</v>
      </c>
    </row>
    <row r="1435" spans="1:9" x14ac:dyDescent="0.2">
      <c r="A1435" s="2">
        <v>13</v>
      </c>
      <c r="B1435" s="1" t="s">
        <v>141</v>
      </c>
      <c r="C1435" s="4">
        <v>3</v>
      </c>
      <c r="D1435" s="8">
        <v>1.46</v>
      </c>
      <c r="E1435" s="4">
        <v>0</v>
      </c>
      <c r="F1435" s="8">
        <v>0</v>
      </c>
      <c r="G1435" s="4">
        <v>3</v>
      </c>
      <c r="H1435" s="8">
        <v>3.49</v>
      </c>
      <c r="I1435" s="4">
        <v>0</v>
      </c>
    </row>
    <row r="1436" spans="1:9" x14ac:dyDescent="0.2">
      <c r="A1436" s="2">
        <v>13</v>
      </c>
      <c r="B1436" s="1" t="s">
        <v>103</v>
      </c>
      <c r="C1436" s="4">
        <v>3</v>
      </c>
      <c r="D1436" s="8">
        <v>1.46</v>
      </c>
      <c r="E1436" s="4">
        <v>3</v>
      </c>
      <c r="F1436" s="8">
        <v>2.61</v>
      </c>
      <c r="G1436" s="4">
        <v>0</v>
      </c>
      <c r="H1436" s="8">
        <v>0</v>
      </c>
      <c r="I1436" s="4">
        <v>0</v>
      </c>
    </row>
    <row r="1437" spans="1:9" x14ac:dyDescent="0.2">
      <c r="A1437" s="2">
        <v>13</v>
      </c>
      <c r="B1437" s="1" t="s">
        <v>105</v>
      </c>
      <c r="C1437" s="4">
        <v>3</v>
      </c>
      <c r="D1437" s="8">
        <v>1.46</v>
      </c>
      <c r="E1437" s="4">
        <v>2</v>
      </c>
      <c r="F1437" s="8">
        <v>1.74</v>
      </c>
      <c r="G1437" s="4">
        <v>1</v>
      </c>
      <c r="H1437" s="8">
        <v>1.1599999999999999</v>
      </c>
      <c r="I1437" s="4">
        <v>0</v>
      </c>
    </row>
    <row r="1438" spans="1:9" x14ac:dyDescent="0.2">
      <c r="A1438" s="2">
        <v>13</v>
      </c>
      <c r="B1438" s="1" t="s">
        <v>110</v>
      </c>
      <c r="C1438" s="4">
        <v>3</v>
      </c>
      <c r="D1438" s="8">
        <v>1.46</v>
      </c>
      <c r="E1438" s="4">
        <v>2</v>
      </c>
      <c r="F1438" s="8">
        <v>1.74</v>
      </c>
      <c r="G1438" s="4">
        <v>1</v>
      </c>
      <c r="H1438" s="8">
        <v>1.1599999999999999</v>
      </c>
      <c r="I1438" s="4">
        <v>0</v>
      </c>
    </row>
    <row r="1439" spans="1:9" x14ac:dyDescent="0.2">
      <c r="A1439" s="2">
        <v>13</v>
      </c>
      <c r="B1439" s="1" t="s">
        <v>114</v>
      </c>
      <c r="C1439" s="4">
        <v>3</v>
      </c>
      <c r="D1439" s="8">
        <v>1.46</v>
      </c>
      <c r="E1439" s="4">
        <v>1</v>
      </c>
      <c r="F1439" s="8">
        <v>0.87</v>
      </c>
      <c r="G1439" s="4">
        <v>0</v>
      </c>
      <c r="H1439" s="8">
        <v>0</v>
      </c>
      <c r="I1439" s="4">
        <v>0</v>
      </c>
    </row>
    <row r="1440" spans="1:9" x14ac:dyDescent="0.2">
      <c r="A1440" s="1"/>
      <c r="C1440" s="4"/>
      <c r="D1440" s="8"/>
      <c r="E1440" s="4"/>
      <c r="F1440" s="8"/>
      <c r="G1440" s="4"/>
      <c r="H1440" s="8"/>
      <c r="I1440" s="4"/>
    </row>
    <row r="1441" spans="1:9" x14ac:dyDescent="0.2">
      <c r="A1441" s="1" t="s">
        <v>63</v>
      </c>
      <c r="C1441" s="4"/>
      <c r="D1441" s="8"/>
      <c r="E1441" s="4"/>
      <c r="F1441" s="8"/>
      <c r="G1441" s="4"/>
      <c r="H1441" s="8"/>
      <c r="I1441" s="4"/>
    </row>
    <row r="1442" spans="1:9" x14ac:dyDescent="0.2">
      <c r="A1442" s="2">
        <v>1</v>
      </c>
      <c r="B1442" s="1" t="s">
        <v>106</v>
      </c>
      <c r="C1442" s="4">
        <v>31</v>
      </c>
      <c r="D1442" s="8">
        <v>10.51</v>
      </c>
      <c r="E1442" s="4">
        <v>24</v>
      </c>
      <c r="F1442" s="8">
        <v>12.97</v>
      </c>
      <c r="G1442" s="4">
        <v>7</v>
      </c>
      <c r="H1442" s="8">
        <v>6.6</v>
      </c>
      <c r="I1442" s="4">
        <v>0</v>
      </c>
    </row>
    <row r="1443" spans="1:9" x14ac:dyDescent="0.2">
      <c r="A1443" s="2">
        <v>1</v>
      </c>
      <c r="B1443" s="1" t="s">
        <v>111</v>
      </c>
      <c r="C1443" s="4">
        <v>31</v>
      </c>
      <c r="D1443" s="8">
        <v>10.51</v>
      </c>
      <c r="E1443" s="4">
        <v>29</v>
      </c>
      <c r="F1443" s="8">
        <v>15.68</v>
      </c>
      <c r="G1443" s="4">
        <v>2</v>
      </c>
      <c r="H1443" s="8">
        <v>1.89</v>
      </c>
      <c r="I1443" s="4">
        <v>0</v>
      </c>
    </row>
    <row r="1444" spans="1:9" x14ac:dyDescent="0.2">
      <c r="A1444" s="2">
        <v>3</v>
      </c>
      <c r="B1444" s="1" t="s">
        <v>112</v>
      </c>
      <c r="C1444" s="4">
        <v>29</v>
      </c>
      <c r="D1444" s="8">
        <v>9.83</v>
      </c>
      <c r="E1444" s="4">
        <v>24</v>
      </c>
      <c r="F1444" s="8">
        <v>12.97</v>
      </c>
      <c r="G1444" s="4">
        <v>5</v>
      </c>
      <c r="H1444" s="8">
        <v>4.72</v>
      </c>
      <c r="I1444" s="4">
        <v>0</v>
      </c>
    </row>
    <row r="1445" spans="1:9" x14ac:dyDescent="0.2">
      <c r="A1445" s="2">
        <v>4</v>
      </c>
      <c r="B1445" s="1" t="s">
        <v>97</v>
      </c>
      <c r="C1445" s="4">
        <v>24</v>
      </c>
      <c r="D1445" s="8">
        <v>8.14</v>
      </c>
      <c r="E1445" s="4">
        <v>6</v>
      </c>
      <c r="F1445" s="8">
        <v>3.24</v>
      </c>
      <c r="G1445" s="4">
        <v>18</v>
      </c>
      <c r="H1445" s="8">
        <v>16.98</v>
      </c>
      <c r="I1445" s="4">
        <v>0</v>
      </c>
    </row>
    <row r="1446" spans="1:9" x14ac:dyDescent="0.2">
      <c r="A1446" s="2">
        <v>5</v>
      </c>
      <c r="B1446" s="1" t="s">
        <v>98</v>
      </c>
      <c r="C1446" s="4">
        <v>23</v>
      </c>
      <c r="D1446" s="8">
        <v>7.8</v>
      </c>
      <c r="E1446" s="4">
        <v>18</v>
      </c>
      <c r="F1446" s="8">
        <v>9.73</v>
      </c>
      <c r="G1446" s="4">
        <v>5</v>
      </c>
      <c r="H1446" s="8">
        <v>4.72</v>
      </c>
      <c r="I1446" s="4">
        <v>0</v>
      </c>
    </row>
    <row r="1447" spans="1:9" x14ac:dyDescent="0.2">
      <c r="A1447" s="2">
        <v>6</v>
      </c>
      <c r="B1447" s="1" t="s">
        <v>104</v>
      </c>
      <c r="C1447" s="4">
        <v>15</v>
      </c>
      <c r="D1447" s="8">
        <v>5.08</v>
      </c>
      <c r="E1447" s="4">
        <v>13</v>
      </c>
      <c r="F1447" s="8">
        <v>7.03</v>
      </c>
      <c r="G1447" s="4">
        <v>2</v>
      </c>
      <c r="H1447" s="8">
        <v>1.89</v>
      </c>
      <c r="I1447" s="4">
        <v>0</v>
      </c>
    </row>
    <row r="1448" spans="1:9" x14ac:dyDescent="0.2">
      <c r="A1448" s="2">
        <v>7</v>
      </c>
      <c r="B1448" s="1" t="s">
        <v>105</v>
      </c>
      <c r="C1448" s="4">
        <v>13</v>
      </c>
      <c r="D1448" s="8">
        <v>4.41</v>
      </c>
      <c r="E1448" s="4">
        <v>10</v>
      </c>
      <c r="F1448" s="8">
        <v>5.41</v>
      </c>
      <c r="G1448" s="4">
        <v>3</v>
      </c>
      <c r="H1448" s="8">
        <v>2.83</v>
      </c>
      <c r="I1448" s="4">
        <v>0</v>
      </c>
    </row>
    <row r="1449" spans="1:9" x14ac:dyDescent="0.2">
      <c r="A1449" s="2">
        <v>8</v>
      </c>
      <c r="B1449" s="1" t="s">
        <v>99</v>
      </c>
      <c r="C1449" s="4">
        <v>11</v>
      </c>
      <c r="D1449" s="8">
        <v>3.73</v>
      </c>
      <c r="E1449" s="4">
        <v>5</v>
      </c>
      <c r="F1449" s="8">
        <v>2.7</v>
      </c>
      <c r="G1449" s="4">
        <v>6</v>
      </c>
      <c r="H1449" s="8">
        <v>5.66</v>
      </c>
      <c r="I1449" s="4">
        <v>0</v>
      </c>
    </row>
    <row r="1450" spans="1:9" x14ac:dyDescent="0.2">
      <c r="A1450" s="2">
        <v>9</v>
      </c>
      <c r="B1450" s="1" t="s">
        <v>116</v>
      </c>
      <c r="C1450" s="4">
        <v>10</v>
      </c>
      <c r="D1450" s="8">
        <v>3.39</v>
      </c>
      <c r="E1450" s="4">
        <v>8</v>
      </c>
      <c r="F1450" s="8">
        <v>4.32</v>
      </c>
      <c r="G1450" s="4">
        <v>2</v>
      </c>
      <c r="H1450" s="8">
        <v>1.89</v>
      </c>
      <c r="I1450" s="4">
        <v>0</v>
      </c>
    </row>
    <row r="1451" spans="1:9" x14ac:dyDescent="0.2">
      <c r="A1451" s="2">
        <v>10</v>
      </c>
      <c r="B1451" s="1" t="s">
        <v>100</v>
      </c>
      <c r="C1451" s="4">
        <v>7</v>
      </c>
      <c r="D1451" s="8">
        <v>2.37</v>
      </c>
      <c r="E1451" s="4">
        <v>0</v>
      </c>
      <c r="F1451" s="8">
        <v>0</v>
      </c>
      <c r="G1451" s="4">
        <v>7</v>
      </c>
      <c r="H1451" s="8">
        <v>6.6</v>
      </c>
      <c r="I1451" s="4">
        <v>0</v>
      </c>
    </row>
    <row r="1452" spans="1:9" x14ac:dyDescent="0.2">
      <c r="A1452" s="2">
        <v>10</v>
      </c>
      <c r="B1452" s="1" t="s">
        <v>114</v>
      </c>
      <c r="C1452" s="4">
        <v>7</v>
      </c>
      <c r="D1452" s="8">
        <v>2.37</v>
      </c>
      <c r="E1452" s="4">
        <v>5</v>
      </c>
      <c r="F1452" s="8">
        <v>2.7</v>
      </c>
      <c r="G1452" s="4">
        <v>1</v>
      </c>
      <c r="H1452" s="8">
        <v>0.94</v>
      </c>
      <c r="I1452" s="4">
        <v>0</v>
      </c>
    </row>
    <row r="1453" spans="1:9" x14ac:dyDescent="0.2">
      <c r="A1453" s="2">
        <v>12</v>
      </c>
      <c r="B1453" s="1" t="s">
        <v>108</v>
      </c>
      <c r="C1453" s="4">
        <v>6</v>
      </c>
      <c r="D1453" s="8">
        <v>2.0299999999999998</v>
      </c>
      <c r="E1453" s="4">
        <v>2</v>
      </c>
      <c r="F1453" s="8">
        <v>1.08</v>
      </c>
      <c r="G1453" s="4">
        <v>4</v>
      </c>
      <c r="H1453" s="8">
        <v>3.77</v>
      </c>
      <c r="I1453" s="4">
        <v>0</v>
      </c>
    </row>
    <row r="1454" spans="1:9" x14ac:dyDescent="0.2">
      <c r="A1454" s="2">
        <v>12</v>
      </c>
      <c r="B1454" s="1" t="s">
        <v>115</v>
      </c>
      <c r="C1454" s="4">
        <v>6</v>
      </c>
      <c r="D1454" s="8">
        <v>2.0299999999999998</v>
      </c>
      <c r="E1454" s="4">
        <v>5</v>
      </c>
      <c r="F1454" s="8">
        <v>2.7</v>
      </c>
      <c r="G1454" s="4">
        <v>1</v>
      </c>
      <c r="H1454" s="8">
        <v>0.94</v>
      </c>
      <c r="I1454" s="4">
        <v>0</v>
      </c>
    </row>
    <row r="1455" spans="1:9" x14ac:dyDescent="0.2">
      <c r="A1455" s="2">
        <v>14</v>
      </c>
      <c r="B1455" s="1" t="s">
        <v>120</v>
      </c>
      <c r="C1455" s="4">
        <v>5</v>
      </c>
      <c r="D1455" s="8">
        <v>1.69</v>
      </c>
      <c r="E1455" s="4">
        <v>0</v>
      </c>
      <c r="F1455" s="8">
        <v>0</v>
      </c>
      <c r="G1455" s="4">
        <v>5</v>
      </c>
      <c r="H1455" s="8">
        <v>4.72</v>
      </c>
      <c r="I1455" s="4">
        <v>0</v>
      </c>
    </row>
    <row r="1456" spans="1:9" x14ac:dyDescent="0.2">
      <c r="A1456" s="2">
        <v>14</v>
      </c>
      <c r="B1456" s="1" t="s">
        <v>103</v>
      </c>
      <c r="C1456" s="4">
        <v>5</v>
      </c>
      <c r="D1456" s="8">
        <v>1.69</v>
      </c>
      <c r="E1456" s="4">
        <v>5</v>
      </c>
      <c r="F1456" s="8">
        <v>2.7</v>
      </c>
      <c r="G1456" s="4">
        <v>0</v>
      </c>
      <c r="H1456" s="8">
        <v>0</v>
      </c>
      <c r="I1456" s="4">
        <v>0</v>
      </c>
    </row>
    <row r="1457" spans="1:9" x14ac:dyDescent="0.2">
      <c r="A1457" s="2">
        <v>14</v>
      </c>
      <c r="B1457" s="1" t="s">
        <v>109</v>
      </c>
      <c r="C1457" s="4">
        <v>5</v>
      </c>
      <c r="D1457" s="8">
        <v>1.69</v>
      </c>
      <c r="E1457" s="4">
        <v>3</v>
      </c>
      <c r="F1457" s="8">
        <v>1.62</v>
      </c>
      <c r="G1457" s="4">
        <v>2</v>
      </c>
      <c r="H1457" s="8">
        <v>1.89</v>
      </c>
      <c r="I1457" s="4">
        <v>0</v>
      </c>
    </row>
    <row r="1458" spans="1:9" x14ac:dyDescent="0.2">
      <c r="A1458" s="2">
        <v>14</v>
      </c>
      <c r="B1458" s="1" t="s">
        <v>110</v>
      </c>
      <c r="C1458" s="4">
        <v>5</v>
      </c>
      <c r="D1458" s="8">
        <v>1.69</v>
      </c>
      <c r="E1458" s="4">
        <v>2</v>
      </c>
      <c r="F1458" s="8">
        <v>1.08</v>
      </c>
      <c r="G1458" s="4">
        <v>3</v>
      </c>
      <c r="H1458" s="8">
        <v>2.83</v>
      </c>
      <c r="I1458" s="4">
        <v>0</v>
      </c>
    </row>
    <row r="1459" spans="1:9" x14ac:dyDescent="0.2">
      <c r="A1459" s="2">
        <v>14</v>
      </c>
      <c r="B1459" s="1" t="s">
        <v>142</v>
      </c>
      <c r="C1459" s="4">
        <v>5</v>
      </c>
      <c r="D1459" s="8">
        <v>1.69</v>
      </c>
      <c r="E1459" s="4">
        <v>3</v>
      </c>
      <c r="F1459" s="8">
        <v>1.62</v>
      </c>
      <c r="G1459" s="4">
        <v>2</v>
      </c>
      <c r="H1459" s="8">
        <v>1.89</v>
      </c>
      <c r="I1459" s="4">
        <v>0</v>
      </c>
    </row>
    <row r="1460" spans="1:9" x14ac:dyDescent="0.2">
      <c r="A1460" s="2">
        <v>14</v>
      </c>
      <c r="B1460" s="1" t="s">
        <v>134</v>
      </c>
      <c r="C1460" s="4">
        <v>5</v>
      </c>
      <c r="D1460" s="8">
        <v>1.69</v>
      </c>
      <c r="E1460" s="4">
        <v>1</v>
      </c>
      <c r="F1460" s="8">
        <v>0.54</v>
      </c>
      <c r="G1460" s="4">
        <v>4</v>
      </c>
      <c r="H1460" s="8">
        <v>3.77</v>
      </c>
      <c r="I1460" s="4">
        <v>0</v>
      </c>
    </row>
    <row r="1461" spans="1:9" x14ac:dyDescent="0.2">
      <c r="A1461" s="2">
        <v>20</v>
      </c>
      <c r="B1461" s="1" t="s">
        <v>143</v>
      </c>
      <c r="C1461" s="4">
        <v>3</v>
      </c>
      <c r="D1461" s="8">
        <v>1.02</v>
      </c>
      <c r="E1461" s="4">
        <v>1</v>
      </c>
      <c r="F1461" s="8">
        <v>0.54</v>
      </c>
      <c r="G1461" s="4">
        <v>2</v>
      </c>
      <c r="H1461" s="8">
        <v>1.89</v>
      </c>
      <c r="I1461" s="4">
        <v>0</v>
      </c>
    </row>
    <row r="1462" spans="1:9" x14ac:dyDescent="0.2">
      <c r="A1462" s="2">
        <v>20</v>
      </c>
      <c r="B1462" s="1" t="s">
        <v>137</v>
      </c>
      <c r="C1462" s="4">
        <v>3</v>
      </c>
      <c r="D1462" s="8">
        <v>1.02</v>
      </c>
      <c r="E1462" s="4">
        <v>1</v>
      </c>
      <c r="F1462" s="8">
        <v>0.54</v>
      </c>
      <c r="G1462" s="4">
        <v>2</v>
      </c>
      <c r="H1462" s="8">
        <v>1.89</v>
      </c>
      <c r="I1462" s="4">
        <v>0</v>
      </c>
    </row>
    <row r="1463" spans="1:9" x14ac:dyDescent="0.2">
      <c r="A1463" s="2">
        <v>20</v>
      </c>
      <c r="B1463" s="1" t="s">
        <v>144</v>
      </c>
      <c r="C1463" s="4">
        <v>3</v>
      </c>
      <c r="D1463" s="8">
        <v>1.02</v>
      </c>
      <c r="E1463" s="4">
        <v>0</v>
      </c>
      <c r="F1463" s="8">
        <v>0</v>
      </c>
      <c r="G1463" s="4">
        <v>3</v>
      </c>
      <c r="H1463" s="8">
        <v>2.83</v>
      </c>
      <c r="I1463" s="4">
        <v>0</v>
      </c>
    </row>
    <row r="1464" spans="1:9" x14ac:dyDescent="0.2">
      <c r="A1464" s="2">
        <v>20</v>
      </c>
      <c r="B1464" s="1" t="s">
        <v>145</v>
      </c>
      <c r="C1464" s="4">
        <v>3</v>
      </c>
      <c r="D1464" s="8">
        <v>1.02</v>
      </c>
      <c r="E1464" s="4">
        <v>0</v>
      </c>
      <c r="F1464" s="8">
        <v>0</v>
      </c>
      <c r="G1464" s="4">
        <v>2</v>
      </c>
      <c r="H1464" s="8">
        <v>1.89</v>
      </c>
      <c r="I1464" s="4">
        <v>0</v>
      </c>
    </row>
    <row r="1465" spans="1:9" x14ac:dyDescent="0.2">
      <c r="A1465" s="2">
        <v>20</v>
      </c>
      <c r="B1465" s="1" t="s">
        <v>101</v>
      </c>
      <c r="C1465" s="4">
        <v>3</v>
      </c>
      <c r="D1465" s="8">
        <v>1.02</v>
      </c>
      <c r="E1465" s="4">
        <v>1</v>
      </c>
      <c r="F1465" s="8">
        <v>0.54</v>
      </c>
      <c r="G1465" s="4">
        <v>2</v>
      </c>
      <c r="H1465" s="8">
        <v>1.89</v>
      </c>
      <c r="I1465" s="4">
        <v>0</v>
      </c>
    </row>
    <row r="1466" spans="1:9" x14ac:dyDescent="0.2">
      <c r="A1466" s="2">
        <v>20</v>
      </c>
      <c r="B1466" s="1" t="s">
        <v>118</v>
      </c>
      <c r="C1466" s="4">
        <v>3</v>
      </c>
      <c r="D1466" s="8">
        <v>1.02</v>
      </c>
      <c r="E1466" s="4">
        <v>0</v>
      </c>
      <c r="F1466" s="8">
        <v>0</v>
      </c>
      <c r="G1466" s="4">
        <v>3</v>
      </c>
      <c r="H1466" s="8">
        <v>2.83</v>
      </c>
      <c r="I1466" s="4">
        <v>0</v>
      </c>
    </row>
    <row r="1467" spans="1:9" x14ac:dyDescent="0.2">
      <c r="A1467" s="2">
        <v>20</v>
      </c>
      <c r="B1467" s="1" t="s">
        <v>146</v>
      </c>
      <c r="C1467" s="4">
        <v>3</v>
      </c>
      <c r="D1467" s="8">
        <v>1.02</v>
      </c>
      <c r="E1467" s="4">
        <v>2</v>
      </c>
      <c r="F1467" s="8">
        <v>1.08</v>
      </c>
      <c r="G1467" s="4">
        <v>1</v>
      </c>
      <c r="H1467" s="8">
        <v>0.94</v>
      </c>
      <c r="I1467" s="4">
        <v>0</v>
      </c>
    </row>
    <row r="1468" spans="1:9" x14ac:dyDescent="0.2">
      <c r="A1468" s="1"/>
      <c r="C1468" s="4"/>
      <c r="D1468" s="8"/>
      <c r="E1468" s="4"/>
      <c r="F1468" s="8"/>
      <c r="G1468" s="4"/>
      <c r="H1468" s="8"/>
      <c r="I1468" s="4"/>
    </row>
    <row r="1469" spans="1:9" x14ac:dyDescent="0.2">
      <c r="A1469" s="1" t="s">
        <v>64</v>
      </c>
      <c r="C1469" s="4"/>
      <c r="D1469" s="8"/>
      <c r="E1469" s="4"/>
      <c r="F1469" s="8"/>
      <c r="G1469" s="4"/>
      <c r="H1469" s="8"/>
      <c r="I1469" s="4"/>
    </row>
    <row r="1470" spans="1:9" x14ac:dyDescent="0.2">
      <c r="A1470" s="2">
        <v>1</v>
      </c>
      <c r="B1470" s="1" t="s">
        <v>111</v>
      </c>
      <c r="C1470" s="4">
        <v>40</v>
      </c>
      <c r="D1470" s="8">
        <v>15.38</v>
      </c>
      <c r="E1470" s="4">
        <v>36</v>
      </c>
      <c r="F1470" s="8">
        <v>20.93</v>
      </c>
      <c r="G1470" s="4">
        <v>4</v>
      </c>
      <c r="H1470" s="8">
        <v>4.71</v>
      </c>
      <c r="I1470" s="4">
        <v>0</v>
      </c>
    </row>
    <row r="1471" spans="1:9" x14ac:dyDescent="0.2">
      <c r="A1471" s="2">
        <v>2</v>
      </c>
      <c r="B1471" s="1" t="s">
        <v>112</v>
      </c>
      <c r="C1471" s="4">
        <v>23</v>
      </c>
      <c r="D1471" s="8">
        <v>8.85</v>
      </c>
      <c r="E1471" s="4">
        <v>22</v>
      </c>
      <c r="F1471" s="8">
        <v>12.79</v>
      </c>
      <c r="G1471" s="4">
        <v>1</v>
      </c>
      <c r="H1471" s="8">
        <v>1.18</v>
      </c>
      <c r="I1471" s="4">
        <v>0</v>
      </c>
    </row>
    <row r="1472" spans="1:9" x14ac:dyDescent="0.2">
      <c r="A1472" s="2">
        <v>3</v>
      </c>
      <c r="B1472" s="1" t="s">
        <v>104</v>
      </c>
      <c r="C1472" s="4">
        <v>20</v>
      </c>
      <c r="D1472" s="8">
        <v>7.69</v>
      </c>
      <c r="E1472" s="4">
        <v>14</v>
      </c>
      <c r="F1472" s="8">
        <v>8.14</v>
      </c>
      <c r="G1472" s="4">
        <v>6</v>
      </c>
      <c r="H1472" s="8">
        <v>7.06</v>
      </c>
      <c r="I1472" s="4">
        <v>0</v>
      </c>
    </row>
    <row r="1473" spans="1:9" x14ac:dyDescent="0.2">
      <c r="A1473" s="2">
        <v>4</v>
      </c>
      <c r="B1473" s="1" t="s">
        <v>97</v>
      </c>
      <c r="C1473" s="4">
        <v>19</v>
      </c>
      <c r="D1473" s="8">
        <v>7.31</v>
      </c>
      <c r="E1473" s="4">
        <v>8</v>
      </c>
      <c r="F1473" s="8">
        <v>4.6500000000000004</v>
      </c>
      <c r="G1473" s="4">
        <v>11</v>
      </c>
      <c r="H1473" s="8">
        <v>12.94</v>
      </c>
      <c r="I1473" s="4">
        <v>0</v>
      </c>
    </row>
    <row r="1474" spans="1:9" x14ac:dyDescent="0.2">
      <c r="A1474" s="2">
        <v>5</v>
      </c>
      <c r="B1474" s="1" t="s">
        <v>108</v>
      </c>
      <c r="C1474" s="4">
        <v>16</v>
      </c>
      <c r="D1474" s="8">
        <v>6.15</v>
      </c>
      <c r="E1474" s="4">
        <v>12</v>
      </c>
      <c r="F1474" s="8">
        <v>6.98</v>
      </c>
      <c r="G1474" s="4">
        <v>4</v>
      </c>
      <c r="H1474" s="8">
        <v>4.71</v>
      </c>
      <c r="I1474" s="4">
        <v>0</v>
      </c>
    </row>
    <row r="1475" spans="1:9" x14ac:dyDescent="0.2">
      <c r="A1475" s="2">
        <v>6</v>
      </c>
      <c r="B1475" s="1" t="s">
        <v>106</v>
      </c>
      <c r="C1475" s="4">
        <v>12</v>
      </c>
      <c r="D1475" s="8">
        <v>4.62</v>
      </c>
      <c r="E1475" s="4">
        <v>11</v>
      </c>
      <c r="F1475" s="8">
        <v>6.4</v>
      </c>
      <c r="G1475" s="4">
        <v>1</v>
      </c>
      <c r="H1475" s="8">
        <v>1.18</v>
      </c>
      <c r="I1475" s="4">
        <v>0</v>
      </c>
    </row>
    <row r="1476" spans="1:9" x14ac:dyDescent="0.2">
      <c r="A1476" s="2">
        <v>7</v>
      </c>
      <c r="B1476" s="1" t="s">
        <v>98</v>
      </c>
      <c r="C1476" s="4">
        <v>9</v>
      </c>
      <c r="D1476" s="8">
        <v>3.46</v>
      </c>
      <c r="E1476" s="4">
        <v>7</v>
      </c>
      <c r="F1476" s="8">
        <v>4.07</v>
      </c>
      <c r="G1476" s="4">
        <v>2</v>
      </c>
      <c r="H1476" s="8">
        <v>2.35</v>
      </c>
      <c r="I1476" s="4">
        <v>0</v>
      </c>
    </row>
    <row r="1477" spans="1:9" x14ac:dyDescent="0.2">
      <c r="A1477" s="2">
        <v>7</v>
      </c>
      <c r="B1477" s="1" t="s">
        <v>105</v>
      </c>
      <c r="C1477" s="4">
        <v>9</v>
      </c>
      <c r="D1477" s="8">
        <v>3.46</v>
      </c>
      <c r="E1477" s="4">
        <v>6</v>
      </c>
      <c r="F1477" s="8">
        <v>3.49</v>
      </c>
      <c r="G1477" s="4">
        <v>3</v>
      </c>
      <c r="H1477" s="8">
        <v>3.53</v>
      </c>
      <c r="I1477" s="4">
        <v>0</v>
      </c>
    </row>
    <row r="1478" spans="1:9" x14ac:dyDescent="0.2">
      <c r="A1478" s="2">
        <v>9</v>
      </c>
      <c r="B1478" s="1" t="s">
        <v>114</v>
      </c>
      <c r="C1478" s="4">
        <v>8</v>
      </c>
      <c r="D1478" s="8">
        <v>3.08</v>
      </c>
      <c r="E1478" s="4">
        <v>6</v>
      </c>
      <c r="F1478" s="8">
        <v>3.49</v>
      </c>
      <c r="G1478" s="4">
        <v>1</v>
      </c>
      <c r="H1478" s="8">
        <v>1.18</v>
      </c>
      <c r="I1478" s="4">
        <v>0</v>
      </c>
    </row>
    <row r="1479" spans="1:9" x14ac:dyDescent="0.2">
      <c r="A1479" s="2">
        <v>9</v>
      </c>
      <c r="B1479" s="1" t="s">
        <v>115</v>
      </c>
      <c r="C1479" s="4">
        <v>8</v>
      </c>
      <c r="D1479" s="8">
        <v>3.08</v>
      </c>
      <c r="E1479" s="4">
        <v>5</v>
      </c>
      <c r="F1479" s="8">
        <v>2.91</v>
      </c>
      <c r="G1479" s="4">
        <v>3</v>
      </c>
      <c r="H1479" s="8">
        <v>3.53</v>
      </c>
      <c r="I1479" s="4">
        <v>0</v>
      </c>
    </row>
    <row r="1480" spans="1:9" x14ac:dyDescent="0.2">
      <c r="A1480" s="2">
        <v>11</v>
      </c>
      <c r="B1480" s="1" t="s">
        <v>139</v>
      </c>
      <c r="C1480" s="4">
        <v>7</v>
      </c>
      <c r="D1480" s="8">
        <v>2.69</v>
      </c>
      <c r="E1480" s="4">
        <v>1</v>
      </c>
      <c r="F1480" s="8">
        <v>0.57999999999999996</v>
      </c>
      <c r="G1480" s="4">
        <v>6</v>
      </c>
      <c r="H1480" s="8">
        <v>7.06</v>
      </c>
      <c r="I1480" s="4">
        <v>0</v>
      </c>
    </row>
    <row r="1481" spans="1:9" x14ac:dyDescent="0.2">
      <c r="A1481" s="2">
        <v>11</v>
      </c>
      <c r="B1481" s="1" t="s">
        <v>100</v>
      </c>
      <c r="C1481" s="4">
        <v>7</v>
      </c>
      <c r="D1481" s="8">
        <v>2.69</v>
      </c>
      <c r="E1481" s="4">
        <v>4</v>
      </c>
      <c r="F1481" s="8">
        <v>2.33</v>
      </c>
      <c r="G1481" s="4">
        <v>3</v>
      </c>
      <c r="H1481" s="8">
        <v>3.53</v>
      </c>
      <c r="I1481" s="4">
        <v>0</v>
      </c>
    </row>
    <row r="1482" spans="1:9" x14ac:dyDescent="0.2">
      <c r="A1482" s="2">
        <v>13</v>
      </c>
      <c r="B1482" s="1" t="s">
        <v>110</v>
      </c>
      <c r="C1482" s="4">
        <v>6</v>
      </c>
      <c r="D1482" s="8">
        <v>2.31</v>
      </c>
      <c r="E1482" s="4">
        <v>4</v>
      </c>
      <c r="F1482" s="8">
        <v>2.33</v>
      </c>
      <c r="G1482" s="4">
        <v>2</v>
      </c>
      <c r="H1482" s="8">
        <v>2.35</v>
      </c>
      <c r="I1482" s="4">
        <v>0</v>
      </c>
    </row>
    <row r="1483" spans="1:9" x14ac:dyDescent="0.2">
      <c r="A1483" s="2">
        <v>13</v>
      </c>
      <c r="B1483" s="1" t="s">
        <v>142</v>
      </c>
      <c r="C1483" s="4">
        <v>6</v>
      </c>
      <c r="D1483" s="8">
        <v>2.31</v>
      </c>
      <c r="E1483" s="4">
        <v>3</v>
      </c>
      <c r="F1483" s="8">
        <v>1.74</v>
      </c>
      <c r="G1483" s="4">
        <v>3</v>
      </c>
      <c r="H1483" s="8">
        <v>3.53</v>
      </c>
      <c r="I1483" s="4">
        <v>0</v>
      </c>
    </row>
    <row r="1484" spans="1:9" x14ac:dyDescent="0.2">
      <c r="A1484" s="2">
        <v>15</v>
      </c>
      <c r="B1484" s="1" t="s">
        <v>135</v>
      </c>
      <c r="C1484" s="4">
        <v>5</v>
      </c>
      <c r="D1484" s="8">
        <v>1.92</v>
      </c>
      <c r="E1484" s="4">
        <v>2</v>
      </c>
      <c r="F1484" s="8">
        <v>1.1599999999999999</v>
      </c>
      <c r="G1484" s="4">
        <v>3</v>
      </c>
      <c r="H1484" s="8">
        <v>3.53</v>
      </c>
      <c r="I1484" s="4">
        <v>0</v>
      </c>
    </row>
    <row r="1485" spans="1:9" x14ac:dyDescent="0.2">
      <c r="A1485" s="2">
        <v>16</v>
      </c>
      <c r="B1485" s="1" t="s">
        <v>99</v>
      </c>
      <c r="C1485" s="4">
        <v>4</v>
      </c>
      <c r="D1485" s="8">
        <v>1.54</v>
      </c>
      <c r="E1485" s="4">
        <v>4</v>
      </c>
      <c r="F1485" s="8">
        <v>2.33</v>
      </c>
      <c r="G1485" s="4">
        <v>0</v>
      </c>
      <c r="H1485" s="8">
        <v>0</v>
      </c>
      <c r="I1485" s="4">
        <v>0</v>
      </c>
    </row>
    <row r="1486" spans="1:9" x14ac:dyDescent="0.2">
      <c r="A1486" s="2">
        <v>16</v>
      </c>
      <c r="B1486" s="1" t="s">
        <v>137</v>
      </c>
      <c r="C1486" s="4">
        <v>4</v>
      </c>
      <c r="D1486" s="8">
        <v>1.54</v>
      </c>
      <c r="E1486" s="4">
        <v>2</v>
      </c>
      <c r="F1486" s="8">
        <v>1.1599999999999999</v>
      </c>
      <c r="G1486" s="4">
        <v>2</v>
      </c>
      <c r="H1486" s="8">
        <v>2.35</v>
      </c>
      <c r="I1486" s="4">
        <v>0</v>
      </c>
    </row>
    <row r="1487" spans="1:9" x14ac:dyDescent="0.2">
      <c r="A1487" s="2">
        <v>16</v>
      </c>
      <c r="B1487" s="1" t="s">
        <v>134</v>
      </c>
      <c r="C1487" s="4">
        <v>4</v>
      </c>
      <c r="D1487" s="8">
        <v>1.54</v>
      </c>
      <c r="E1487" s="4">
        <v>3</v>
      </c>
      <c r="F1487" s="8">
        <v>1.74</v>
      </c>
      <c r="G1487" s="4">
        <v>1</v>
      </c>
      <c r="H1487" s="8">
        <v>1.18</v>
      </c>
      <c r="I1487" s="4">
        <v>0</v>
      </c>
    </row>
    <row r="1488" spans="1:9" x14ac:dyDescent="0.2">
      <c r="A1488" s="2">
        <v>16</v>
      </c>
      <c r="B1488" s="1" t="s">
        <v>113</v>
      </c>
      <c r="C1488" s="4">
        <v>4</v>
      </c>
      <c r="D1488" s="8">
        <v>1.54</v>
      </c>
      <c r="E1488" s="4">
        <v>4</v>
      </c>
      <c r="F1488" s="8">
        <v>2.33</v>
      </c>
      <c r="G1488" s="4">
        <v>0</v>
      </c>
      <c r="H1488" s="8">
        <v>0</v>
      </c>
      <c r="I1488" s="4">
        <v>0</v>
      </c>
    </row>
    <row r="1489" spans="1:9" x14ac:dyDescent="0.2">
      <c r="A1489" s="2">
        <v>16</v>
      </c>
      <c r="B1489" s="1" t="s">
        <v>124</v>
      </c>
      <c r="C1489" s="4">
        <v>4</v>
      </c>
      <c r="D1489" s="8">
        <v>1.54</v>
      </c>
      <c r="E1489" s="4">
        <v>2</v>
      </c>
      <c r="F1489" s="8">
        <v>1.1599999999999999</v>
      </c>
      <c r="G1489" s="4">
        <v>2</v>
      </c>
      <c r="H1489" s="8">
        <v>2.35</v>
      </c>
      <c r="I1489" s="4">
        <v>0</v>
      </c>
    </row>
    <row r="1490" spans="1:9" x14ac:dyDescent="0.2">
      <c r="A1490" s="2">
        <v>16</v>
      </c>
      <c r="B1490" s="1" t="s">
        <v>116</v>
      </c>
      <c r="C1490" s="4">
        <v>4</v>
      </c>
      <c r="D1490" s="8">
        <v>1.54</v>
      </c>
      <c r="E1490" s="4">
        <v>2</v>
      </c>
      <c r="F1490" s="8">
        <v>1.1599999999999999</v>
      </c>
      <c r="G1490" s="4">
        <v>2</v>
      </c>
      <c r="H1490" s="8">
        <v>2.35</v>
      </c>
      <c r="I1490" s="4">
        <v>0</v>
      </c>
    </row>
    <row r="1491" spans="1:9" x14ac:dyDescent="0.2">
      <c r="A1491" s="1"/>
      <c r="C1491" s="4"/>
      <c r="D1491" s="8"/>
      <c r="E1491" s="4"/>
      <c r="F1491" s="8"/>
      <c r="G1491" s="4"/>
      <c r="H1491" s="8"/>
      <c r="I1491" s="4"/>
    </row>
    <row r="1492" spans="1:9" x14ac:dyDescent="0.2">
      <c r="A1492" s="1" t="s">
        <v>65</v>
      </c>
      <c r="C1492" s="4"/>
      <c r="D1492" s="8"/>
      <c r="E1492" s="4"/>
      <c r="F1492" s="8"/>
      <c r="G1492" s="4"/>
      <c r="H1492" s="8"/>
      <c r="I1492" s="4"/>
    </row>
    <row r="1493" spans="1:9" x14ac:dyDescent="0.2">
      <c r="A1493" s="2">
        <v>1</v>
      </c>
      <c r="B1493" s="1" t="s">
        <v>97</v>
      </c>
      <c r="C1493" s="4">
        <v>53</v>
      </c>
      <c r="D1493" s="8">
        <v>13.98</v>
      </c>
      <c r="E1493" s="4">
        <v>27</v>
      </c>
      <c r="F1493" s="8">
        <v>10.55</v>
      </c>
      <c r="G1493" s="4">
        <v>26</v>
      </c>
      <c r="H1493" s="8">
        <v>22.22</v>
      </c>
      <c r="I1493" s="4">
        <v>0</v>
      </c>
    </row>
    <row r="1494" spans="1:9" x14ac:dyDescent="0.2">
      <c r="A1494" s="2">
        <v>2</v>
      </c>
      <c r="B1494" s="1" t="s">
        <v>111</v>
      </c>
      <c r="C1494" s="4">
        <v>43</v>
      </c>
      <c r="D1494" s="8">
        <v>11.35</v>
      </c>
      <c r="E1494" s="4">
        <v>40</v>
      </c>
      <c r="F1494" s="8">
        <v>15.63</v>
      </c>
      <c r="G1494" s="4">
        <v>3</v>
      </c>
      <c r="H1494" s="8">
        <v>2.56</v>
      </c>
      <c r="I1494" s="4">
        <v>0</v>
      </c>
    </row>
    <row r="1495" spans="1:9" x14ac:dyDescent="0.2">
      <c r="A1495" s="2">
        <v>3</v>
      </c>
      <c r="B1495" s="1" t="s">
        <v>112</v>
      </c>
      <c r="C1495" s="4">
        <v>35</v>
      </c>
      <c r="D1495" s="8">
        <v>9.23</v>
      </c>
      <c r="E1495" s="4">
        <v>33</v>
      </c>
      <c r="F1495" s="8">
        <v>12.89</v>
      </c>
      <c r="G1495" s="4">
        <v>2</v>
      </c>
      <c r="H1495" s="8">
        <v>1.71</v>
      </c>
      <c r="I1495" s="4">
        <v>0</v>
      </c>
    </row>
    <row r="1496" spans="1:9" x14ac:dyDescent="0.2">
      <c r="A1496" s="2">
        <v>4</v>
      </c>
      <c r="B1496" s="1" t="s">
        <v>98</v>
      </c>
      <c r="C1496" s="4">
        <v>31</v>
      </c>
      <c r="D1496" s="8">
        <v>8.18</v>
      </c>
      <c r="E1496" s="4">
        <v>25</v>
      </c>
      <c r="F1496" s="8">
        <v>9.77</v>
      </c>
      <c r="G1496" s="4">
        <v>6</v>
      </c>
      <c r="H1496" s="8">
        <v>5.13</v>
      </c>
      <c r="I1496" s="4">
        <v>0</v>
      </c>
    </row>
    <row r="1497" spans="1:9" x14ac:dyDescent="0.2">
      <c r="A1497" s="2">
        <v>5</v>
      </c>
      <c r="B1497" s="1" t="s">
        <v>106</v>
      </c>
      <c r="C1497" s="4">
        <v>22</v>
      </c>
      <c r="D1497" s="8">
        <v>5.8</v>
      </c>
      <c r="E1497" s="4">
        <v>19</v>
      </c>
      <c r="F1497" s="8">
        <v>7.42</v>
      </c>
      <c r="G1497" s="4">
        <v>3</v>
      </c>
      <c r="H1497" s="8">
        <v>2.56</v>
      </c>
      <c r="I1497" s="4">
        <v>0</v>
      </c>
    </row>
    <row r="1498" spans="1:9" x14ac:dyDescent="0.2">
      <c r="A1498" s="2">
        <v>6</v>
      </c>
      <c r="B1498" s="1" t="s">
        <v>104</v>
      </c>
      <c r="C1498" s="4">
        <v>18</v>
      </c>
      <c r="D1498" s="8">
        <v>4.75</v>
      </c>
      <c r="E1498" s="4">
        <v>14</v>
      </c>
      <c r="F1498" s="8">
        <v>5.47</v>
      </c>
      <c r="G1498" s="4">
        <v>3</v>
      </c>
      <c r="H1498" s="8">
        <v>2.56</v>
      </c>
      <c r="I1498" s="4">
        <v>1</v>
      </c>
    </row>
    <row r="1499" spans="1:9" x14ac:dyDescent="0.2">
      <c r="A1499" s="2">
        <v>7</v>
      </c>
      <c r="B1499" s="1" t="s">
        <v>99</v>
      </c>
      <c r="C1499" s="4">
        <v>14</v>
      </c>
      <c r="D1499" s="8">
        <v>3.69</v>
      </c>
      <c r="E1499" s="4">
        <v>8</v>
      </c>
      <c r="F1499" s="8">
        <v>3.13</v>
      </c>
      <c r="G1499" s="4">
        <v>6</v>
      </c>
      <c r="H1499" s="8">
        <v>5.13</v>
      </c>
      <c r="I1499" s="4">
        <v>0</v>
      </c>
    </row>
    <row r="1500" spans="1:9" x14ac:dyDescent="0.2">
      <c r="A1500" s="2">
        <v>8</v>
      </c>
      <c r="B1500" s="1" t="s">
        <v>105</v>
      </c>
      <c r="C1500" s="4">
        <v>13</v>
      </c>
      <c r="D1500" s="8">
        <v>3.43</v>
      </c>
      <c r="E1500" s="4">
        <v>7</v>
      </c>
      <c r="F1500" s="8">
        <v>2.73</v>
      </c>
      <c r="G1500" s="4">
        <v>6</v>
      </c>
      <c r="H1500" s="8">
        <v>5.13</v>
      </c>
      <c r="I1500" s="4">
        <v>0</v>
      </c>
    </row>
    <row r="1501" spans="1:9" x14ac:dyDescent="0.2">
      <c r="A1501" s="2">
        <v>9</v>
      </c>
      <c r="B1501" s="1" t="s">
        <v>101</v>
      </c>
      <c r="C1501" s="4">
        <v>11</v>
      </c>
      <c r="D1501" s="8">
        <v>2.9</v>
      </c>
      <c r="E1501" s="4">
        <v>3</v>
      </c>
      <c r="F1501" s="8">
        <v>1.17</v>
      </c>
      <c r="G1501" s="4">
        <v>8</v>
      </c>
      <c r="H1501" s="8">
        <v>6.84</v>
      </c>
      <c r="I1501" s="4">
        <v>0</v>
      </c>
    </row>
    <row r="1502" spans="1:9" x14ac:dyDescent="0.2">
      <c r="A1502" s="2">
        <v>10</v>
      </c>
      <c r="B1502" s="1" t="s">
        <v>139</v>
      </c>
      <c r="C1502" s="4">
        <v>8</v>
      </c>
      <c r="D1502" s="8">
        <v>2.11</v>
      </c>
      <c r="E1502" s="4">
        <v>5</v>
      </c>
      <c r="F1502" s="8">
        <v>1.95</v>
      </c>
      <c r="G1502" s="4">
        <v>3</v>
      </c>
      <c r="H1502" s="8">
        <v>2.56</v>
      </c>
      <c r="I1502" s="4">
        <v>0</v>
      </c>
    </row>
    <row r="1503" spans="1:9" x14ac:dyDescent="0.2">
      <c r="A1503" s="2">
        <v>10</v>
      </c>
      <c r="B1503" s="1" t="s">
        <v>116</v>
      </c>
      <c r="C1503" s="4">
        <v>8</v>
      </c>
      <c r="D1503" s="8">
        <v>2.11</v>
      </c>
      <c r="E1503" s="4">
        <v>8</v>
      </c>
      <c r="F1503" s="8">
        <v>3.13</v>
      </c>
      <c r="G1503" s="4">
        <v>0</v>
      </c>
      <c r="H1503" s="8">
        <v>0</v>
      </c>
      <c r="I1503" s="4">
        <v>0</v>
      </c>
    </row>
    <row r="1504" spans="1:9" x14ac:dyDescent="0.2">
      <c r="A1504" s="2">
        <v>12</v>
      </c>
      <c r="B1504" s="1" t="s">
        <v>127</v>
      </c>
      <c r="C1504" s="4">
        <v>7</v>
      </c>
      <c r="D1504" s="8">
        <v>1.85</v>
      </c>
      <c r="E1504" s="4">
        <v>3</v>
      </c>
      <c r="F1504" s="8">
        <v>1.17</v>
      </c>
      <c r="G1504" s="4">
        <v>4</v>
      </c>
      <c r="H1504" s="8">
        <v>3.42</v>
      </c>
      <c r="I1504" s="4">
        <v>0</v>
      </c>
    </row>
    <row r="1505" spans="1:9" x14ac:dyDescent="0.2">
      <c r="A1505" s="2">
        <v>12</v>
      </c>
      <c r="B1505" s="1" t="s">
        <v>109</v>
      </c>
      <c r="C1505" s="4">
        <v>7</v>
      </c>
      <c r="D1505" s="8">
        <v>1.85</v>
      </c>
      <c r="E1505" s="4">
        <v>6</v>
      </c>
      <c r="F1505" s="8">
        <v>2.34</v>
      </c>
      <c r="G1505" s="4">
        <v>1</v>
      </c>
      <c r="H1505" s="8">
        <v>0.85</v>
      </c>
      <c r="I1505" s="4">
        <v>0</v>
      </c>
    </row>
    <row r="1506" spans="1:9" x14ac:dyDescent="0.2">
      <c r="A1506" s="2">
        <v>12</v>
      </c>
      <c r="B1506" s="1" t="s">
        <v>110</v>
      </c>
      <c r="C1506" s="4">
        <v>7</v>
      </c>
      <c r="D1506" s="8">
        <v>1.85</v>
      </c>
      <c r="E1506" s="4">
        <v>3</v>
      </c>
      <c r="F1506" s="8">
        <v>1.17</v>
      </c>
      <c r="G1506" s="4">
        <v>4</v>
      </c>
      <c r="H1506" s="8">
        <v>3.42</v>
      </c>
      <c r="I1506" s="4">
        <v>0</v>
      </c>
    </row>
    <row r="1507" spans="1:9" x14ac:dyDescent="0.2">
      <c r="A1507" s="2">
        <v>12</v>
      </c>
      <c r="B1507" s="1" t="s">
        <v>115</v>
      </c>
      <c r="C1507" s="4">
        <v>7</v>
      </c>
      <c r="D1507" s="8">
        <v>1.85</v>
      </c>
      <c r="E1507" s="4">
        <v>7</v>
      </c>
      <c r="F1507" s="8">
        <v>2.73</v>
      </c>
      <c r="G1507" s="4">
        <v>0</v>
      </c>
      <c r="H1507" s="8">
        <v>0</v>
      </c>
      <c r="I1507" s="4">
        <v>0</v>
      </c>
    </row>
    <row r="1508" spans="1:9" x14ac:dyDescent="0.2">
      <c r="A1508" s="2">
        <v>16</v>
      </c>
      <c r="B1508" s="1" t="s">
        <v>147</v>
      </c>
      <c r="C1508" s="4">
        <v>6</v>
      </c>
      <c r="D1508" s="8">
        <v>1.58</v>
      </c>
      <c r="E1508" s="4">
        <v>4</v>
      </c>
      <c r="F1508" s="8">
        <v>1.56</v>
      </c>
      <c r="G1508" s="4">
        <v>2</v>
      </c>
      <c r="H1508" s="8">
        <v>1.71</v>
      </c>
      <c r="I1508" s="4">
        <v>0</v>
      </c>
    </row>
    <row r="1509" spans="1:9" x14ac:dyDescent="0.2">
      <c r="A1509" s="2">
        <v>16</v>
      </c>
      <c r="B1509" s="1" t="s">
        <v>103</v>
      </c>
      <c r="C1509" s="4">
        <v>6</v>
      </c>
      <c r="D1509" s="8">
        <v>1.58</v>
      </c>
      <c r="E1509" s="4">
        <v>4</v>
      </c>
      <c r="F1509" s="8">
        <v>1.56</v>
      </c>
      <c r="G1509" s="4">
        <v>2</v>
      </c>
      <c r="H1509" s="8">
        <v>1.71</v>
      </c>
      <c r="I1509" s="4">
        <v>0</v>
      </c>
    </row>
    <row r="1510" spans="1:9" x14ac:dyDescent="0.2">
      <c r="A1510" s="2">
        <v>16</v>
      </c>
      <c r="B1510" s="1" t="s">
        <v>114</v>
      </c>
      <c r="C1510" s="4">
        <v>6</v>
      </c>
      <c r="D1510" s="8">
        <v>1.58</v>
      </c>
      <c r="E1510" s="4">
        <v>4</v>
      </c>
      <c r="F1510" s="8">
        <v>1.56</v>
      </c>
      <c r="G1510" s="4">
        <v>0</v>
      </c>
      <c r="H1510" s="8">
        <v>0</v>
      </c>
      <c r="I1510" s="4">
        <v>0</v>
      </c>
    </row>
    <row r="1511" spans="1:9" x14ac:dyDescent="0.2">
      <c r="A1511" s="2">
        <v>19</v>
      </c>
      <c r="B1511" s="1" t="s">
        <v>129</v>
      </c>
      <c r="C1511" s="4">
        <v>5</v>
      </c>
      <c r="D1511" s="8">
        <v>1.32</v>
      </c>
      <c r="E1511" s="4">
        <v>4</v>
      </c>
      <c r="F1511" s="8">
        <v>1.56</v>
      </c>
      <c r="G1511" s="4">
        <v>1</v>
      </c>
      <c r="H1511" s="8">
        <v>0.85</v>
      </c>
      <c r="I1511" s="4">
        <v>0</v>
      </c>
    </row>
    <row r="1512" spans="1:9" x14ac:dyDescent="0.2">
      <c r="A1512" s="2">
        <v>19</v>
      </c>
      <c r="B1512" s="1" t="s">
        <v>135</v>
      </c>
      <c r="C1512" s="4">
        <v>5</v>
      </c>
      <c r="D1512" s="8">
        <v>1.32</v>
      </c>
      <c r="E1512" s="4">
        <v>1</v>
      </c>
      <c r="F1512" s="8">
        <v>0.39</v>
      </c>
      <c r="G1512" s="4">
        <v>4</v>
      </c>
      <c r="H1512" s="8">
        <v>3.42</v>
      </c>
      <c r="I1512" s="4">
        <v>0</v>
      </c>
    </row>
    <row r="1513" spans="1:9" x14ac:dyDescent="0.2">
      <c r="A1513" s="2">
        <v>19</v>
      </c>
      <c r="B1513" s="1" t="s">
        <v>141</v>
      </c>
      <c r="C1513" s="4">
        <v>5</v>
      </c>
      <c r="D1513" s="8">
        <v>1.32</v>
      </c>
      <c r="E1513" s="4">
        <v>1</v>
      </c>
      <c r="F1513" s="8">
        <v>0.39</v>
      </c>
      <c r="G1513" s="4">
        <v>4</v>
      </c>
      <c r="H1513" s="8">
        <v>3.42</v>
      </c>
      <c r="I1513" s="4">
        <v>0</v>
      </c>
    </row>
    <row r="1514" spans="1:9" x14ac:dyDescent="0.2">
      <c r="A1514" s="2">
        <v>19</v>
      </c>
      <c r="B1514" s="1" t="s">
        <v>118</v>
      </c>
      <c r="C1514" s="4">
        <v>5</v>
      </c>
      <c r="D1514" s="8">
        <v>1.32</v>
      </c>
      <c r="E1514" s="4">
        <v>0</v>
      </c>
      <c r="F1514" s="8">
        <v>0</v>
      </c>
      <c r="G1514" s="4">
        <v>4</v>
      </c>
      <c r="H1514" s="8">
        <v>3.42</v>
      </c>
      <c r="I1514" s="4">
        <v>0</v>
      </c>
    </row>
    <row r="1515" spans="1:9" x14ac:dyDescent="0.2">
      <c r="A1515" s="1"/>
      <c r="C1515" s="4"/>
      <c r="D1515" s="8"/>
      <c r="E1515" s="4"/>
      <c r="F1515" s="8"/>
      <c r="G1515" s="4"/>
      <c r="H1515" s="8"/>
      <c r="I1515" s="4"/>
    </row>
    <row r="1516" spans="1:9" x14ac:dyDescent="0.2">
      <c r="A1516" s="1" t="s">
        <v>66</v>
      </c>
      <c r="C1516" s="4"/>
      <c r="D1516" s="8"/>
      <c r="E1516" s="4"/>
      <c r="F1516" s="8"/>
      <c r="G1516" s="4"/>
      <c r="H1516" s="8"/>
      <c r="I1516" s="4"/>
    </row>
    <row r="1517" spans="1:9" x14ac:dyDescent="0.2">
      <c r="A1517" s="2">
        <v>1</v>
      </c>
      <c r="B1517" s="1" t="s">
        <v>97</v>
      </c>
      <c r="C1517" s="4">
        <v>15</v>
      </c>
      <c r="D1517" s="8">
        <v>15</v>
      </c>
      <c r="E1517" s="4">
        <v>10</v>
      </c>
      <c r="F1517" s="8">
        <v>14.29</v>
      </c>
      <c r="G1517" s="4">
        <v>5</v>
      </c>
      <c r="H1517" s="8">
        <v>21.74</v>
      </c>
      <c r="I1517" s="4">
        <v>0</v>
      </c>
    </row>
    <row r="1518" spans="1:9" x14ac:dyDescent="0.2">
      <c r="A1518" s="2">
        <v>2</v>
      </c>
      <c r="B1518" s="1" t="s">
        <v>111</v>
      </c>
      <c r="C1518" s="4">
        <v>8</v>
      </c>
      <c r="D1518" s="8">
        <v>8</v>
      </c>
      <c r="E1518" s="4">
        <v>8</v>
      </c>
      <c r="F1518" s="8">
        <v>11.43</v>
      </c>
      <c r="G1518" s="4">
        <v>0</v>
      </c>
      <c r="H1518" s="8">
        <v>0</v>
      </c>
      <c r="I1518" s="4">
        <v>0</v>
      </c>
    </row>
    <row r="1519" spans="1:9" x14ac:dyDescent="0.2">
      <c r="A1519" s="2">
        <v>3</v>
      </c>
      <c r="B1519" s="1" t="s">
        <v>106</v>
      </c>
      <c r="C1519" s="4">
        <v>7</v>
      </c>
      <c r="D1519" s="8">
        <v>7</v>
      </c>
      <c r="E1519" s="4">
        <v>6</v>
      </c>
      <c r="F1519" s="8">
        <v>8.57</v>
      </c>
      <c r="G1519" s="4">
        <v>1</v>
      </c>
      <c r="H1519" s="8">
        <v>4.3499999999999996</v>
      </c>
      <c r="I1519" s="4">
        <v>0</v>
      </c>
    </row>
    <row r="1520" spans="1:9" x14ac:dyDescent="0.2">
      <c r="A1520" s="2">
        <v>3</v>
      </c>
      <c r="B1520" s="1" t="s">
        <v>112</v>
      </c>
      <c r="C1520" s="4">
        <v>7</v>
      </c>
      <c r="D1520" s="8">
        <v>7</v>
      </c>
      <c r="E1520" s="4">
        <v>7</v>
      </c>
      <c r="F1520" s="8">
        <v>10</v>
      </c>
      <c r="G1520" s="4">
        <v>0</v>
      </c>
      <c r="H1520" s="8">
        <v>0</v>
      </c>
      <c r="I1520" s="4">
        <v>0</v>
      </c>
    </row>
    <row r="1521" spans="1:9" x14ac:dyDescent="0.2">
      <c r="A1521" s="2">
        <v>5</v>
      </c>
      <c r="B1521" s="1" t="s">
        <v>98</v>
      </c>
      <c r="C1521" s="4">
        <v>6</v>
      </c>
      <c r="D1521" s="8">
        <v>6</v>
      </c>
      <c r="E1521" s="4">
        <v>5</v>
      </c>
      <c r="F1521" s="8">
        <v>7.14</v>
      </c>
      <c r="G1521" s="4">
        <v>1</v>
      </c>
      <c r="H1521" s="8">
        <v>4.3499999999999996</v>
      </c>
      <c r="I1521" s="4">
        <v>0</v>
      </c>
    </row>
    <row r="1522" spans="1:9" x14ac:dyDescent="0.2">
      <c r="A1522" s="2">
        <v>5</v>
      </c>
      <c r="B1522" s="1" t="s">
        <v>104</v>
      </c>
      <c r="C1522" s="4">
        <v>6</v>
      </c>
      <c r="D1522" s="8">
        <v>6</v>
      </c>
      <c r="E1522" s="4">
        <v>6</v>
      </c>
      <c r="F1522" s="8">
        <v>8.57</v>
      </c>
      <c r="G1522" s="4">
        <v>0</v>
      </c>
      <c r="H1522" s="8">
        <v>0</v>
      </c>
      <c r="I1522" s="4">
        <v>0</v>
      </c>
    </row>
    <row r="1523" spans="1:9" x14ac:dyDescent="0.2">
      <c r="A1523" s="2">
        <v>7</v>
      </c>
      <c r="B1523" s="1" t="s">
        <v>100</v>
      </c>
      <c r="C1523" s="4">
        <v>5</v>
      </c>
      <c r="D1523" s="8">
        <v>5</v>
      </c>
      <c r="E1523" s="4">
        <v>4</v>
      </c>
      <c r="F1523" s="8">
        <v>5.71</v>
      </c>
      <c r="G1523" s="4">
        <v>1</v>
      </c>
      <c r="H1523" s="8">
        <v>4.3499999999999996</v>
      </c>
      <c r="I1523" s="4">
        <v>0</v>
      </c>
    </row>
    <row r="1524" spans="1:9" x14ac:dyDescent="0.2">
      <c r="A1524" s="2">
        <v>8</v>
      </c>
      <c r="B1524" s="1" t="s">
        <v>126</v>
      </c>
      <c r="C1524" s="4">
        <v>4</v>
      </c>
      <c r="D1524" s="8">
        <v>4</v>
      </c>
      <c r="E1524" s="4">
        <v>2</v>
      </c>
      <c r="F1524" s="8">
        <v>2.86</v>
      </c>
      <c r="G1524" s="4">
        <v>2</v>
      </c>
      <c r="H1524" s="8">
        <v>8.6999999999999993</v>
      </c>
      <c r="I1524" s="4">
        <v>0</v>
      </c>
    </row>
    <row r="1525" spans="1:9" x14ac:dyDescent="0.2">
      <c r="A1525" s="2">
        <v>8</v>
      </c>
      <c r="B1525" s="1" t="s">
        <v>135</v>
      </c>
      <c r="C1525" s="4">
        <v>4</v>
      </c>
      <c r="D1525" s="8">
        <v>4</v>
      </c>
      <c r="E1525" s="4">
        <v>1</v>
      </c>
      <c r="F1525" s="8">
        <v>1.43</v>
      </c>
      <c r="G1525" s="4">
        <v>3</v>
      </c>
      <c r="H1525" s="8">
        <v>13.04</v>
      </c>
      <c r="I1525" s="4">
        <v>0</v>
      </c>
    </row>
    <row r="1526" spans="1:9" x14ac:dyDescent="0.2">
      <c r="A1526" s="2">
        <v>8</v>
      </c>
      <c r="B1526" s="1" t="s">
        <v>118</v>
      </c>
      <c r="C1526" s="4">
        <v>4</v>
      </c>
      <c r="D1526" s="8">
        <v>4</v>
      </c>
      <c r="E1526" s="4">
        <v>0</v>
      </c>
      <c r="F1526" s="8">
        <v>0</v>
      </c>
      <c r="G1526" s="4">
        <v>1</v>
      </c>
      <c r="H1526" s="8">
        <v>4.3499999999999996</v>
      </c>
      <c r="I1526" s="4">
        <v>0</v>
      </c>
    </row>
    <row r="1527" spans="1:9" x14ac:dyDescent="0.2">
      <c r="A1527" s="2">
        <v>11</v>
      </c>
      <c r="B1527" s="1" t="s">
        <v>139</v>
      </c>
      <c r="C1527" s="4">
        <v>3</v>
      </c>
      <c r="D1527" s="8">
        <v>3</v>
      </c>
      <c r="E1527" s="4">
        <v>3</v>
      </c>
      <c r="F1527" s="8">
        <v>4.29</v>
      </c>
      <c r="G1527" s="4">
        <v>0</v>
      </c>
      <c r="H1527" s="8">
        <v>0</v>
      </c>
      <c r="I1527" s="4">
        <v>0</v>
      </c>
    </row>
    <row r="1528" spans="1:9" x14ac:dyDescent="0.2">
      <c r="A1528" s="2">
        <v>11</v>
      </c>
      <c r="B1528" s="1" t="s">
        <v>116</v>
      </c>
      <c r="C1528" s="4">
        <v>3</v>
      </c>
      <c r="D1528" s="8">
        <v>3</v>
      </c>
      <c r="E1528" s="4">
        <v>2</v>
      </c>
      <c r="F1528" s="8">
        <v>2.86</v>
      </c>
      <c r="G1528" s="4">
        <v>1</v>
      </c>
      <c r="H1528" s="8">
        <v>4.3499999999999996</v>
      </c>
      <c r="I1528" s="4">
        <v>0</v>
      </c>
    </row>
    <row r="1529" spans="1:9" x14ac:dyDescent="0.2">
      <c r="A1529" s="2">
        <v>13</v>
      </c>
      <c r="B1529" s="1" t="s">
        <v>99</v>
      </c>
      <c r="C1529" s="4">
        <v>2</v>
      </c>
      <c r="D1529" s="8">
        <v>2</v>
      </c>
      <c r="E1529" s="4">
        <v>2</v>
      </c>
      <c r="F1529" s="8">
        <v>2.86</v>
      </c>
      <c r="G1529" s="4">
        <v>0</v>
      </c>
      <c r="H1529" s="8">
        <v>0</v>
      </c>
      <c r="I1529" s="4">
        <v>0</v>
      </c>
    </row>
    <row r="1530" spans="1:9" x14ac:dyDescent="0.2">
      <c r="A1530" s="2">
        <v>13</v>
      </c>
      <c r="B1530" s="1" t="s">
        <v>143</v>
      </c>
      <c r="C1530" s="4">
        <v>2</v>
      </c>
      <c r="D1530" s="8">
        <v>2</v>
      </c>
      <c r="E1530" s="4">
        <v>2</v>
      </c>
      <c r="F1530" s="8">
        <v>2.86</v>
      </c>
      <c r="G1530" s="4">
        <v>0</v>
      </c>
      <c r="H1530" s="8">
        <v>0</v>
      </c>
      <c r="I1530" s="4">
        <v>0</v>
      </c>
    </row>
    <row r="1531" spans="1:9" x14ac:dyDescent="0.2">
      <c r="A1531" s="2">
        <v>13</v>
      </c>
      <c r="B1531" s="1" t="s">
        <v>120</v>
      </c>
      <c r="C1531" s="4">
        <v>2</v>
      </c>
      <c r="D1531" s="8">
        <v>2</v>
      </c>
      <c r="E1531" s="4">
        <v>1</v>
      </c>
      <c r="F1531" s="8">
        <v>1.43</v>
      </c>
      <c r="G1531" s="4">
        <v>1</v>
      </c>
      <c r="H1531" s="8">
        <v>4.3499999999999996</v>
      </c>
      <c r="I1531" s="4">
        <v>0</v>
      </c>
    </row>
    <row r="1532" spans="1:9" x14ac:dyDescent="0.2">
      <c r="A1532" s="2">
        <v>13</v>
      </c>
      <c r="B1532" s="1" t="s">
        <v>109</v>
      </c>
      <c r="C1532" s="4">
        <v>2</v>
      </c>
      <c r="D1532" s="8">
        <v>2</v>
      </c>
      <c r="E1532" s="4">
        <v>1</v>
      </c>
      <c r="F1532" s="8">
        <v>1.43</v>
      </c>
      <c r="G1532" s="4">
        <v>1</v>
      </c>
      <c r="H1532" s="8">
        <v>4.3499999999999996</v>
      </c>
      <c r="I1532" s="4">
        <v>0</v>
      </c>
    </row>
    <row r="1533" spans="1:9" x14ac:dyDescent="0.2">
      <c r="A1533" s="2">
        <v>13</v>
      </c>
      <c r="B1533" s="1" t="s">
        <v>110</v>
      </c>
      <c r="C1533" s="4">
        <v>2</v>
      </c>
      <c r="D1533" s="8">
        <v>2</v>
      </c>
      <c r="E1533" s="4">
        <v>0</v>
      </c>
      <c r="F1533" s="8">
        <v>0</v>
      </c>
      <c r="G1533" s="4">
        <v>2</v>
      </c>
      <c r="H1533" s="8">
        <v>8.6999999999999993</v>
      </c>
      <c r="I1533" s="4">
        <v>0</v>
      </c>
    </row>
    <row r="1534" spans="1:9" x14ac:dyDescent="0.2">
      <c r="A1534" s="2">
        <v>13</v>
      </c>
      <c r="B1534" s="1" t="s">
        <v>114</v>
      </c>
      <c r="C1534" s="4">
        <v>2</v>
      </c>
      <c r="D1534" s="8">
        <v>2</v>
      </c>
      <c r="E1534" s="4">
        <v>1</v>
      </c>
      <c r="F1534" s="8">
        <v>1.43</v>
      </c>
      <c r="G1534" s="4">
        <v>0</v>
      </c>
      <c r="H1534" s="8">
        <v>0</v>
      </c>
      <c r="I1534" s="4">
        <v>0</v>
      </c>
    </row>
    <row r="1535" spans="1:9" x14ac:dyDescent="0.2">
      <c r="A1535" s="2">
        <v>13</v>
      </c>
      <c r="B1535" s="1" t="s">
        <v>115</v>
      </c>
      <c r="C1535" s="4">
        <v>2</v>
      </c>
      <c r="D1535" s="8">
        <v>2</v>
      </c>
      <c r="E1535" s="4">
        <v>2</v>
      </c>
      <c r="F1535" s="8">
        <v>2.86</v>
      </c>
      <c r="G1535" s="4">
        <v>0</v>
      </c>
      <c r="H1535" s="8">
        <v>0</v>
      </c>
      <c r="I1535" s="4">
        <v>0</v>
      </c>
    </row>
    <row r="1536" spans="1:9" x14ac:dyDescent="0.2">
      <c r="A1536" s="2">
        <v>20</v>
      </c>
      <c r="B1536" s="1" t="s">
        <v>138</v>
      </c>
      <c r="C1536" s="4">
        <v>1</v>
      </c>
      <c r="D1536" s="8">
        <v>1</v>
      </c>
      <c r="E1536" s="4">
        <v>1</v>
      </c>
      <c r="F1536" s="8">
        <v>1.43</v>
      </c>
      <c r="G1536" s="4">
        <v>0</v>
      </c>
      <c r="H1536" s="8">
        <v>0</v>
      </c>
      <c r="I1536" s="4">
        <v>0</v>
      </c>
    </row>
    <row r="1537" spans="1:9" x14ac:dyDescent="0.2">
      <c r="A1537" s="2">
        <v>20</v>
      </c>
      <c r="B1537" s="1" t="s">
        <v>131</v>
      </c>
      <c r="C1537" s="4">
        <v>1</v>
      </c>
      <c r="D1537" s="8">
        <v>1</v>
      </c>
      <c r="E1537" s="4">
        <v>1</v>
      </c>
      <c r="F1537" s="8">
        <v>1.43</v>
      </c>
      <c r="G1537" s="4">
        <v>0</v>
      </c>
      <c r="H1537" s="8">
        <v>0</v>
      </c>
      <c r="I1537" s="4">
        <v>0</v>
      </c>
    </row>
    <row r="1538" spans="1:9" x14ac:dyDescent="0.2">
      <c r="A1538" s="2">
        <v>20</v>
      </c>
      <c r="B1538" s="1" t="s">
        <v>148</v>
      </c>
      <c r="C1538" s="4">
        <v>1</v>
      </c>
      <c r="D1538" s="8">
        <v>1</v>
      </c>
      <c r="E1538" s="4">
        <v>1</v>
      </c>
      <c r="F1538" s="8">
        <v>1.43</v>
      </c>
      <c r="G1538" s="4">
        <v>0</v>
      </c>
      <c r="H1538" s="8">
        <v>0</v>
      </c>
      <c r="I1538" s="4">
        <v>0</v>
      </c>
    </row>
    <row r="1539" spans="1:9" x14ac:dyDescent="0.2">
      <c r="A1539" s="2">
        <v>20</v>
      </c>
      <c r="B1539" s="1" t="s">
        <v>149</v>
      </c>
      <c r="C1539" s="4">
        <v>1</v>
      </c>
      <c r="D1539" s="8">
        <v>1</v>
      </c>
      <c r="E1539" s="4">
        <v>0</v>
      </c>
      <c r="F1539" s="8">
        <v>0</v>
      </c>
      <c r="G1539" s="4">
        <v>1</v>
      </c>
      <c r="H1539" s="8">
        <v>4.3499999999999996</v>
      </c>
      <c r="I1539" s="4">
        <v>0</v>
      </c>
    </row>
    <row r="1540" spans="1:9" x14ac:dyDescent="0.2">
      <c r="A1540" s="2">
        <v>20</v>
      </c>
      <c r="B1540" s="1" t="s">
        <v>125</v>
      </c>
      <c r="C1540" s="4">
        <v>1</v>
      </c>
      <c r="D1540" s="8">
        <v>1</v>
      </c>
      <c r="E1540" s="4">
        <v>0</v>
      </c>
      <c r="F1540" s="8">
        <v>0</v>
      </c>
      <c r="G1540" s="4">
        <v>1</v>
      </c>
      <c r="H1540" s="8">
        <v>4.3499999999999996</v>
      </c>
      <c r="I1540" s="4">
        <v>0</v>
      </c>
    </row>
    <row r="1541" spans="1:9" x14ac:dyDescent="0.2">
      <c r="A1541" s="2">
        <v>20</v>
      </c>
      <c r="B1541" s="1" t="s">
        <v>150</v>
      </c>
      <c r="C1541" s="4">
        <v>1</v>
      </c>
      <c r="D1541" s="8">
        <v>1</v>
      </c>
      <c r="E1541" s="4">
        <v>0</v>
      </c>
      <c r="F1541" s="8">
        <v>0</v>
      </c>
      <c r="G1541" s="4">
        <v>0</v>
      </c>
      <c r="H1541" s="8">
        <v>0</v>
      </c>
      <c r="I1541" s="4">
        <v>0</v>
      </c>
    </row>
    <row r="1542" spans="1:9" x14ac:dyDescent="0.2">
      <c r="A1542" s="2">
        <v>20</v>
      </c>
      <c r="B1542" s="1" t="s">
        <v>151</v>
      </c>
      <c r="C1542" s="4">
        <v>1</v>
      </c>
      <c r="D1542" s="8">
        <v>1</v>
      </c>
      <c r="E1542" s="4">
        <v>1</v>
      </c>
      <c r="F1542" s="8">
        <v>1.43</v>
      </c>
      <c r="G1542" s="4">
        <v>0</v>
      </c>
      <c r="H1542" s="8">
        <v>0</v>
      </c>
      <c r="I1542" s="4">
        <v>0</v>
      </c>
    </row>
    <row r="1543" spans="1:9" x14ac:dyDescent="0.2">
      <c r="A1543" s="2">
        <v>20</v>
      </c>
      <c r="B1543" s="1" t="s">
        <v>141</v>
      </c>
      <c r="C1543" s="4">
        <v>1</v>
      </c>
      <c r="D1543" s="8">
        <v>1</v>
      </c>
      <c r="E1543" s="4">
        <v>0</v>
      </c>
      <c r="F1543" s="8">
        <v>0</v>
      </c>
      <c r="G1543" s="4">
        <v>1</v>
      </c>
      <c r="H1543" s="8">
        <v>4.3499999999999996</v>
      </c>
      <c r="I1543" s="4">
        <v>0</v>
      </c>
    </row>
    <row r="1544" spans="1:9" x14ac:dyDescent="0.2">
      <c r="A1544" s="2">
        <v>20</v>
      </c>
      <c r="B1544" s="1" t="s">
        <v>152</v>
      </c>
      <c r="C1544" s="4">
        <v>1</v>
      </c>
      <c r="D1544" s="8">
        <v>1</v>
      </c>
      <c r="E1544" s="4">
        <v>0</v>
      </c>
      <c r="F1544" s="8">
        <v>0</v>
      </c>
      <c r="G1544" s="4">
        <v>0</v>
      </c>
      <c r="H1544" s="8">
        <v>0</v>
      </c>
      <c r="I1544" s="4">
        <v>0</v>
      </c>
    </row>
    <row r="1545" spans="1:9" x14ac:dyDescent="0.2">
      <c r="A1545" s="2">
        <v>20</v>
      </c>
      <c r="B1545" s="1" t="s">
        <v>105</v>
      </c>
      <c r="C1545" s="4">
        <v>1</v>
      </c>
      <c r="D1545" s="8">
        <v>1</v>
      </c>
      <c r="E1545" s="4">
        <v>1</v>
      </c>
      <c r="F1545" s="8">
        <v>1.43</v>
      </c>
      <c r="G1545" s="4">
        <v>0</v>
      </c>
      <c r="H1545" s="8">
        <v>0</v>
      </c>
      <c r="I1545" s="4">
        <v>0</v>
      </c>
    </row>
    <row r="1546" spans="1:9" x14ac:dyDescent="0.2">
      <c r="A1546" s="2">
        <v>20</v>
      </c>
      <c r="B1546" s="1" t="s">
        <v>122</v>
      </c>
      <c r="C1546" s="4">
        <v>1</v>
      </c>
      <c r="D1546" s="8">
        <v>1</v>
      </c>
      <c r="E1546" s="4">
        <v>0</v>
      </c>
      <c r="F1546" s="8">
        <v>0</v>
      </c>
      <c r="G1546" s="4">
        <v>1</v>
      </c>
      <c r="H1546" s="8">
        <v>4.3499999999999996</v>
      </c>
      <c r="I1546" s="4">
        <v>0</v>
      </c>
    </row>
    <row r="1547" spans="1:9" x14ac:dyDescent="0.2">
      <c r="A1547" s="2">
        <v>20</v>
      </c>
      <c r="B1547" s="1" t="s">
        <v>124</v>
      </c>
      <c r="C1547" s="4">
        <v>1</v>
      </c>
      <c r="D1547" s="8">
        <v>1</v>
      </c>
      <c r="E1547" s="4">
        <v>1</v>
      </c>
      <c r="F1547" s="8">
        <v>1.43</v>
      </c>
      <c r="G1547" s="4">
        <v>0</v>
      </c>
      <c r="H1547" s="8">
        <v>0</v>
      </c>
      <c r="I1547" s="4">
        <v>0</v>
      </c>
    </row>
    <row r="1548" spans="1:9" x14ac:dyDescent="0.2">
      <c r="A1548" s="2">
        <v>20</v>
      </c>
      <c r="B1548" s="1" t="s">
        <v>119</v>
      </c>
      <c r="C1548" s="4">
        <v>1</v>
      </c>
      <c r="D1548" s="8">
        <v>1</v>
      </c>
      <c r="E1548" s="4">
        <v>1</v>
      </c>
      <c r="F1548" s="8">
        <v>1.43</v>
      </c>
      <c r="G1548" s="4">
        <v>0</v>
      </c>
      <c r="H1548" s="8">
        <v>0</v>
      </c>
      <c r="I1548" s="4">
        <v>0</v>
      </c>
    </row>
    <row r="1549" spans="1:9" x14ac:dyDescent="0.2">
      <c r="A1549" s="2">
        <v>20</v>
      </c>
      <c r="B1549" s="1" t="s">
        <v>153</v>
      </c>
      <c r="C1549" s="4">
        <v>1</v>
      </c>
      <c r="D1549" s="8">
        <v>1</v>
      </c>
      <c r="E1549" s="4">
        <v>0</v>
      </c>
      <c r="F1549" s="8">
        <v>0</v>
      </c>
      <c r="G1549" s="4">
        <v>0</v>
      </c>
      <c r="H1549" s="8">
        <v>0</v>
      </c>
      <c r="I1549" s="4">
        <v>0</v>
      </c>
    </row>
    <row r="1550" spans="1:9" x14ac:dyDescent="0.2">
      <c r="A1550" s="1"/>
      <c r="C1550" s="4"/>
      <c r="D1550" s="8"/>
      <c r="E1550" s="4"/>
      <c r="F1550" s="8"/>
      <c r="G1550" s="4"/>
      <c r="H1550" s="8"/>
      <c r="I1550" s="4"/>
    </row>
    <row r="1551" spans="1:9" x14ac:dyDescent="0.2">
      <c r="A1551" s="1" t="s">
        <v>67</v>
      </c>
      <c r="C1551" s="4"/>
      <c r="D1551" s="8"/>
      <c r="E1551" s="4"/>
      <c r="F1551" s="8"/>
      <c r="G1551" s="4"/>
      <c r="H1551" s="8"/>
      <c r="I1551" s="4"/>
    </row>
    <row r="1552" spans="1:9" x14ac:dyDescent="0.2">
      <c r="A1552" s="2">
        <v>1</v>
      </c>
      <c r="B1552" s="1" t="s">
        <v>97</v>
      </c>
      <c r="C1552" s="4">
        <v>23</v>
      </c>
      <c r="D1552" s="8">
        <v>9.7899999999999991</v>
      </c>
      <c r="E1552" s="4">
        <v>10</v>
      </c>
      <c r="F1552" s="8">
        <v>8.1999999999999993</v>
      </c>
      <c r="G1552" s="4">
        <v>13</v>
      </c>
      <c r="H1552" s="8">
        <v>11.82</v>
      </c>
      <c r="I1552" s="4">
        <v>0</v>
      </c>
    </row>
    <row r="1553" spans="1:9" x14ac:dyDescent="0.2">
      <c r="A1553" s="2">
        <v>2</v>
      </c>
      <c r="B1553" s="1" t="s">
        <v>111</v>
      </c>
      <c r="C1553" s="4">
        <v>21</v>
      </c>
      <c r="D1553" s="8">
        <v>8.94</v>
      </c>
      <c r="E1553" s="4">
        <v>20</v>
      </c>
      <c r="F1553" s="8">
        <v>16.39</v>
      </c>
      <c r="G1553" s="4">
        <v>1</v>
      </c>
      <c r="H1553" s="8">
        <v>0.91</v>
      </c>
      <c r="I1553" s="4">
        <v>0</v>
      </c>
    </row>
    <row r="1554" spans="1:9" x14ac:dyDescent="0.2">
      <c r="A1554" s="2">
        <v>2</v>
      </c>
      <c r="B1554" s="1" t="s">
        <v>112</v>
      </c>
      <c r="C1554" s="4">
        <v>21</v>
      </c>
      <c r="D1554" s="8">
        <v>8.94</v>
      </c>
      <c r="E1554" s="4">
        <v>18</v>
      </c>
      <c r="F1554" s="8">
        <v>14.75</v>
      </c>
      <c r="G1554" s="4">
        <v>3</v>
      </c>
      <c r="H1554" s="8">
        <v>2.73</v>
      </c>
      <c r="I1554" s="4">
        <v>0</v>
      </c>
    </row>
    <row r="1555" spans="1:9" x14ac:dyDescent="0.2">
      <c r="A1555" s="2">
        <v>4</v>
      </c>
      <c r="B1555" s="1" t="s">
        <v>98</v>
      </c>
      <c r="C1555" s="4">
        <v>15</v>
      </c>
      <c r="D1555" s="8">
        <v>6.38</v>
      </c>
      <c r="E1555" s="4">
        <v>8</v>
      </c>
      <c r="F1555" s="8">
        <v>6.56</v>
      </c>
      <c r="G1555" s="4">
        <v>7</v>
      </c>
      <c r="H1555" s="8">
        <v>6.36</v>
      </c>
      <c r="I1555" s="4">
        <v>0</v>
      </c>
    </row>
    <row r="1556" spans="1:9" x14ac:dyDescent="0.2">
      <c r="A1556" s="2">
        <v>4</v>
      </c>
      <c r="B1556" s="1" t="s">
        <v>106</v>
      </c>
      <c r="C1556" s="4">
        <v>15</v>
      </c>
      <c r="D1556" s="8">
        <v>6.38</v>
      </c>
      <c r="E1556" s="4">
        <v>8</v>
      </c>
      <c r="F1556" s="8">
        <v>6.56</v>
      </c>
      <c r="G1556" s="4">
        <v>7</v>
      </c>
      <c r="H1556" s="8">
        <v>6.36</v>
      </c>
      <c r="I1556" s="4">
        <v>0</v>
      </c>
    </row>
    <row r="1557" spans="1:9" x14ac:dyDescent="0.2">
      <c r="A1557" s="2">
        <v>6</v>
      </c>
      <c r="B1557" s="1" t="s">
        <v>99</v>
      </c>
      <c r="C1557" s="4">
        <v>14</v>
      </c>
      <c r="D1557" s="8">
        <v>5.96</v>
      </c>
      <c r="E1557" s="4">
        <v>5</v>
      </c>
      <c r="F1557" s="8">
        <v>4.0999999999999996</v>
      </c>
      <c r="G1557" s="4">
        <v>9</v>
      </c>
      <c r="H1557" s="8">
        <v>8.18</v>
      </c>
      <c r="I1557" s="4">
        <v>0</v>
      </c>
    </row>
    <row r="1558" spans="1:9" x14ac:dyDescent="0.2">
      <c r="A1558" s="2">
        <v>7</v>
      </c>
      <c r="B1558" s="1" t="s">
        <v>115</v>
      </c>
      <c r="C1558" s="4">
        <v>11</v>
      </c>
      <c r="D1558" s="8">
        <v>4.68</v>
      </c>
      <c r="E1558" s="4">
        <v>10</v>
      </c>
      <c r="F1558" s="8">
        <v>8.1999999999999993</v>
      </c>
      <c r="G1558" s="4">
        <v>1</v>
      </c>
      <c r="H1558" s="8">
        <v>0.91</v>
      </c>
      <c r="I1558" s="4">
        <v>0</v>
      </c>
    </row>
    <row r="1559" spans="1:9" x14ac:dyDescent="0.2">
      <c r="A1559" s="2">
        <v>7</v>
      </c>
      <c r="B1559" s="1" t="s">
        <v>116</v>
      </c>
      <c r="C1559" s="4">
        <v>11</v>
      </c>
      <c r="D1559" s="8">
        <v>4.68</v>
      </c>
      <c r="E1559" s="4">
        <v>10</v>
      </c>
      <c r="F1559" s="8">
        <v>8.1999999999999993</v>
      </c>
      <c r="G1559" s="4">
        <v>1</v>
      </c>
      <c r="H1559" s="8">
        <v>0.91</v>
      </c>
      <c r="I1559" s="4">
        <v>0</v>
      </c>
    </row>
    <row r="1560" spans="1:9" x14ac:dyDescent="0.2">
      <c r="A1560" s="2">
        <v>9</v>
      </c>
      <c r="B1560" s="1" t="s">
        <v>104</v>
      </c>
      <c r="C1560" s="4">
        <v>10</v>
      </c>
      <c r="D1560" s="8">
        <v>4.26</v>
      </c>
      <c r="E1560" s="4">
        <v>9</v>
      </c>
      <c r="F1560" s="8">
        <v>7.38</v>
      </c>
      <c r="G1560" s="4">
        <v>1</v>
      </c>
      <c r="H1560" s="8">
        <v>0.91</v>
      </c>
      <c r="I1560" s="4">
        <v>0</v>
      </c>
    </row>
    <row r="1561" spans="1:9" x14ac:dyDescent="0.2">
      <c r="A1561" s="2">
        <v>10</v>
      </c>
      <c r="B1561" s="1" t="s">
        <v>100</v>
      </c>
      <c r="C1561" s="4">
        <v>8</v>
      </c>
      <c r="D1561" s="8">
        <v>3.4</v>
      </c>
      <c r="E1561" s="4">
        <v>3</v>
      </c>
      <c r="F1561" s="8">
        <v>2.46</v>
      </c>
      <c r="G1561" s="4">
        <v>5</v>
      </c>
      <c r="H1561" s="8">
        <v>4.55</v>
      </c>
      <c r="I1561" s="4">
        <v>0</v>
      </c>
    </row>
    <row r="1562" spans="1:9" x14ac:dyDescent="0.2">
      <c r="A1562" s="2">
        <v>11</v>
      </c>
      <c r="B1562" s="1" t="s">
        <v>118</v>
      </c>
      <c r="C1562" s="4">
        <v>7</v>
      </c>
      <c r="D1562" s="8">
        <v>2.98</v>
      </c>
      <c r="E1562" s="4">
        <v>0</v>
      </c>
      <c r="F1562" s="8">
        <v>0</v>
      </c>
      <c r="G1562" s="4">
        <v>6</v>
      </c>
      <c r="H1562" s="8">
        <v>5.45</v>
      </c>
      <c r="I1562" s="4">
        <v>0</v>
      </c>
    </row>
    <row r="1563" spans="1:9" x14ac:dyDescent="0.2">
      <c r="A1563" s="2">
        <v>12</v>
      </c>
      <c r="B1563" s="1" t="s">
        <v>101</v>
      </c>
      <c r="C1563" s="4">
        <v>5</v>
      </c>
      <c r="D1563" s="8">
        <v>2.13</v>
      </c>
      <c r="E1563" s="4">
        <v>0</v>
      </c>
      <c r="F1563" s="8">
        <v>0</v>
      </c>
      <c r="G1563" s="4">
        <v>5</v>
      </c>
      <c r="H1563" s="8">
        <v>4.55</v>
      </c>
      <c r="I1563" s="4">
        <v>0</v>
      </c>
    </row>
    <row r="1564" spans="1:9" x14ac:dyDescent="0.2">
      <c r="A1564" s="2">
        <v>13</v>
      </c>
      <c r="B1564" s="1" t="s">
        <v>139</v>
      </c>
      <c r="C1564" s="4">
        <v>4</v>
      </c>
      <c r="D1564" s="8">
        <v>1.7</v>
      </c>
      <c r="E1564" s="4">
        <v>1</v>
      </c>
      <c r="F1564" s="8">
        <v>0.82</v>
      </c>
      <c r="G1564" s="4">
        <v>3</v>
      </c>
      <c r="H1564" s="8">
        <v>2.73</v>
      </c>
      <c r="I1564" s="4">
        <v>0</v>
      </c>
    </row>
    <row r="1565" spans="1:9" x14ac:dyDescent="0.2">
      <c r="A1565" s="2">
        <v>13</v>
      </c>
      <c r="B1565" s="1" t="s">
        <v>128</v>
      </c>
      <c r="C1565" s="4">
        <v>4</v>
      </c>
      <c r="D1565" s="8">
        <v>1.7</v>
      </c>
      <c r="E1565" s="4">
        <v>0</v>
      </c>
      <c r="F1565" s="8">
        <v>0</v>
      </c>
      <c r="G1565" s="4">
        <v>4</v>
      </c>
      <c r="H1565" s="8">
        <v>3.64</v>
      </c>
      <c r="I1565" s="4">
        <v>0</v>
      </c>
    </row>
    <row r="1566" spans="1:9" x14ac:dyDescent="0.2">
      <c r="A1566" s="2">
        <v>13</v>
      </c>
      <c r="B1566" s="1" t="s">
        <v>154</v>
      </c>
      <c r="C1566" s="4">
        <v>4</v>
      </c>
      <c r="D1566" s="8">
        <v>1.7</v>
      </c>
      <c r="E1566" s="4">
        <v>2</v>
      </c>
      <c r="F1566" s="8">
        <v>1.64</v>
      </c>
      <c r="G1566" s="4">
        <v>2</v>
      </c>
      <c r="H1566" s="8">
        <v>1.82</v>
      </c>
      <c r="I1566" s="4">
        <v>0</v>
      </c>
    </row>
    <row r="1567" spans="1:9" x14ac:dyDescent="0.2">
      <c r="A1567" s="2">
        <v>13</v>
      </c>
      <c r="B1567" s="1" t="s">
        <v>105</v>
      </c>
      <c r="C1567" s="4">
        <v>4</v>
      </c>
      <c r="D1567" s="8">
        <v>1.7</v>
      </c>
      <c r="E1567" s="4">
        <v>4</v>
      </c>
      <c r="F1567" s="8">
        <v>3.28</v>
      </c>
      <c r="G1567" s="4">
        <v>0</v>
      </c>
      <c r="H1567" s="8">
        <v>0</v>
      </c>
      <c r="I1567" s="4">
        <v>0</v>
      </c>
    </row>
    <row r="1568" spans="1:9" x14ac:dyDescent="0.2">
      <c r="A1568" s="2">
        <v>13</v>
      </c>
      <c r="B1568" s="1" t="s">
        <v>110</v>
      </c>
      <c r="C1568" s="4">
        <v>4</v>
      </c>
      <c r="D1568" s="8">
        <v>1.7</v>
      </c>
      <c r="E1568" s="4">
        <v>1</v>
      </c>
      <c r="F1568" s="8">
        <v>0.82</v>
      </c>
      <c r="G1568" s="4">
        <v>3</v>
      </c>
      <c r="H1568" s="8">
        <v>2.73</v>
      </c>
      <c r="I1568" s="4">
        <v>0</v>
      </c>
    </row>
    <row r="1569" spans="1:9" x14ac:dyDescent="0.2">
      <c r="A1569" s="2">
        <v>13</v>
      </c>
      <c r="B1569" s="1" t="s">
        <v>113</v>
      </c>
      <c r="C1569" s="4">
        <v>4</v>
      </c>
      <c r="D1569" s="8">
        <v>1.7</v>
      </c>
      <c r="E1569" s="4">
        <v>2</v>
      </c>
      <c r="F1569" s="8">
        <v>1.64</v>
      </c>
      <c r="G1569" s="4">
        <v>2</v>
      </c>
      <c r="H1569" s="8">
        <v>1.82</v>
      </c>
      <c r="I1569" s="4">
        <v>0</v>
      </c>
    </row>
    <row r="1570" spans="1:9" x14ac:dyDescent="0.2">
      <c r="A1570" s="2">
        <v>19</v>
      </c>
      <c r="B1570" s="1" t="s">
        <v>125</v>
      </c>
      <c r="C1570" s="4">
        <v>3</v>
      </c>
      <c r="D1570" s="8">
        <v>1.28</v>
      </c>
      <c r="E1570" s="4">
        <v>2</v>
      </c>
      <c r="F1570" s="8">
        <v>1.64</v>
      </c>
      <c r="G1570" s="4">
        <v>1</v>
      </c>
      <c r="H1570" s="8">
        <v>0.91</v>
      </c>
      <c r="I1570" s="4">
        <v>0</v>
      </c>
    </row>
    <row r="1571" spans="1:9" x14ac:dyDescent="0.2">
      <c r="A1571" s="2">
        <v>19</v>
      </c>
      <c r="B1571" s="1" t="s">
        <v>107</v>
      </c>
      <c r="C1571" s="4">
        <v>3</v>
      </c>
      <c r="D1571" s="8">
        <v>1.28</v>
      </c>
      <c r="E1571" s="4">
        <v>1</v>
      </c>
      <c r="F1571" s="8">
        <v>0.82</v>
      </c>
      <c r="G1571" s="4">
        <v>2</v>
      </c>
      <c r="H1571" s="8">
        <v>1.82</v>
      </c>
      <c r="I1571" s="4">
        <v>0</v>
      </c>
    </row>
    <row r="1572" spans="1:9" x14ac:dyDescent="0.2">
      <c r="A1572" s="2">
        <v>19</v>
      </c>
      <c r="B1572" s="1" t="s">
        <v>114</v>
      </c>
      <c r="C1572" s="4">
        <v>3</v>
      </c>
      <c r="D1572" s="8">
        <v>1.28</v>
      </c>
      <c r="E1572" s="4">
        <v>2</v>
      </c>
      <c r="F1572" s="8">
        <v>1.64</v>
      </c>
      <c r="G1572" s="4">
        <v>0</v>
      </c>
      <c r="H1572" s="8">
        <v>0</v>
      </c>
      <c r="I1572" s="4">
        <v>0</v>
      </c>
    </row>
    <row r="1573" spans="1:9" x14ac:dyDescent="0.2">
      <c r="A1573" s="1"/>
      <c r="C1573" s="4"/>
      <c r="D1573" s="8"/>
      <c r="E1573" s="4"/>
      <c r="F1573" s="8"/>
      <c r="G1573" s="4"/>
      <c r="H1573" s="8"/>
      <c r="I1573" s="4"/>
    </row>
    <row r="1574" spans="1:9" x14ac:dyDescent="0.2">
      <c r="A1574" s="1" t="s">
        <v>68</v>
      </c>
      <c r="C1574" s="4"/>
      <c r="D1574" s="8"/>
      <c r="E1574" s="4"/>
      <c r="F1574" s="8"/>
      <c r="G1574" s="4"/>
      <c r="H1574" s="8"/>
      <c r="I1574" s="4"/>
    </row>
    <row r="1575" spans="1:9" x14ac:dyDescent="0.2">
      <c r="A1575" s="2">
        <v>1</v>
      </c>
      <c r="B1575" s="1" t="s">
        <v>97</v>
      </c>
      <c r="C1575" s="4">
        <v>33</v>
      </c>
      <c r="D1575" s="8">
        <v>13.2</v>
      </c>
      <c r="E1575" s="4">
        <v>16</v>
      </c>
      <c r="F1575" s="8">
        <v>11.68</v>
      </c>
      <c r="G1575" s="4">
        <v>17</v>
      </c>
      <c r="H1575" s="8">
        <v>15.45</v>
      </c>
      <c r="I1575" s="4">
        <v>0</v>
      </c>
    </row>
    <row r="1576" spans="1:9" x14ac:dyDescent="0.2">
      <c r="A1576" s="2">
        <v>2</v>
      </c>
      <c r="B1576" s="1" t="s">
        <v>112</v>
      </c>
      <c r="C1576" s="4">
        <v>24</v>
      </c>
      <c r="D1576" s="8">
        <v>9.6</v>
      </c>
      <c r="E1576" s="4">
        <v>21</v>
      </c>
      <c r="F1576" s="8">
        <v>15.33</v>
      </c>
      <c r="G1576" s="4">
        <v>3</v>
      </c>
      <c r="H1576" s="8">
        <v>2.73</v>
      </c>
      <c r="I1576" s="4">
        <v>0</v>
      </c>
    </row>
    <row r="1577" spans="1:9" x14ac:dyDescent="0.2">
      <c r="A1577" s="2">
        <v>3</v>
      </c>
      <c r="B1577" s="1" t="s">
        <v>111</v>
      </c>
      <c r="C1577" s="4">
        <v>23</v>
      </c>
      <c r="D1577" s="8">
        <v>9.1999999999999993</v>
      </c>
      <c r="E1577" s="4">
        <v>21</v>
      </c>
      <c r="F1577" s="8">
        <v>15.33</v>
      </c>
      <c r="G1577" s="4">
        <v>2</v>
      </c>
      <c r="H1577" s="8">
        <v>1.82</v>
      </c>
      <c r="I1577" s="4">
        <v>0</v>
      </c>
    </row>
    <row r="1578" spans="1:9" x14ac:dyDescent="0.2">
      <c r="A1578" s="2">
        <v>4</v>
      </c>
      <c r="B1578" s="1" t="s">
        <v>106</v>
      </c>
      <c r="C1578" s="4">
        <v>17</v>
      </c>
      <c r="D1578" s="8">
        <v>6.8</v>
      </c>
      <c r="E1578" s="4">
        <v>7</v>
      </c>
      <c r="F1578" s="8">
        <v>5.1100000000000003</v>
      </c>
      <c r="G1578" s="4">
        <v>10</v>
      </c>
      <c r="H1578" s="8">
        <v>9.09</v>
      </c>
      <c r="I1578" s="4">
        <v>0</v>
      </c>
    </row>
    <row r="1579" spans="1:9" x14ac:dyDescent="0.2">
      <c r="A1579" s="2">
        <v>5</v>
      </c>
      <c r="B1579" s="1" t="s">
        <v>98</v>
      </c>
      <c r="C1579" s="4">
        <v>16</v>
      </c>
      <c r="D1579" s="8">
        <v>6.4</v>
      </c>
      <c r="E1579" s="4">
        <v>9</v>
      </c>
      <c r="F1579" s="8">
        <v>6.57</v>
      </c>
      <c r="G1579" s="4">
        <v>7</v>
      </c>
      <c r="H1579" s="8">
        <v>6.36</v>
      </c>
      <c r="I1579" s="4">
        <v>0</v>
      </c>
    </row>
    <row r="1580" spans="1:9" x14ac:dyDescent="0.2">
      <c r="A1580" s="2">
        <v>6</v>
      </c>
      <c r="B1580" s="1" t="s">
        <v>108</v>
      </c>
      <c r="C1580" s="4">
        <v>14</v>
      </c>
      <c r="D1580" s="8">
        <v>5.6</v>
      </c>
      <c r="E1580" s="4">
        <v>8</v>
      </c>
      <c r="F1580" s="8">
        <v>5.84</v>
      </c>
      <c r="G1580" s="4">
        <v>6</v>
      </c>
      <c r="H1580" s="8">
        <v>5.45</v>
      </c>
      <c r="I1580" s="4">
        <v>0</v>
      </c>
    </row>
    <row r="1581" spans="1:9" x14ac:dyDescent="0.2">
      <c r="A1581" s="2">
        <v>7</v>
      </c>
      <c r="B1581" s="1" t="s">
        <v>99</v>
      </c>
      <c r="C1581" s="4">
        <v>10</v>
      </c>
      <c r="D1581" s="8">
        <v>4</v>
      </c>
      <c r="E1581" s="4">
        <v>2</v>
      </c>
      <c r="F1581" s="8">
        <v>1.46</v>
      </c>
      <c r="G1581" s="4">
        <v>8</v>
      </c>
      <c r="H1581" s="8">
        <v>7.27</v>
      </c>
      <c r="I1581" s="4">
        <v>0</v>
      </c>
    </row>
    <row r="1582" spans="1:9" x14ac:dyDescent="0.2">
      <c r="A1582" s="2">
        <v>7</v>
      </c>
      <c r="B1582" s="1" t="s">
        <v>116</v>
      </c>
      <c r="C1582" s="4">
        <v>10</v>
      </c>
      <c r="D1582" s="8">
        <v>4</v>
      </c>
      <c r="E1582" s="4">
        <v>8</v>
      </c>
      <c r="F1582" s="8">
        <v>5.84</v>
      </c>
      <c r="G1582" s="4">
        <v>2</v>
      </c>
      <c r="H1582" s="8">
        <v>1.82</v>
      </c>
      <c r="I1582" s="4">
        <v>0</v>
      </c>
    </row>
    <row r="1583" spans="1:9" x14ac:dyDescent="0.2">
      <c r="A1583" s="2">
        <v>9</v>
      </c>
      <c r="B1583" s="1" t="s">
        <v>105</v>
      </c>
      <c r="C1583" s="4">
        <v>7</v>
      </c>
      <c r="D1583" s="8">
        <v>2.8</v>
      </c>
      <c r="E1583" s="4">
        <v>6</v>
      </c>
      <c r="F1583" s="8">
        <v>4.38</v>
      </c>
      <c r="G1583" s="4">
        <v>1</v>
      </c>
      <c r="H1583" s="8">
        <v>0.91</v>
      </c>
      <c r="I1583" s="4">
        <v>0</v>
      </c>
    </row>
    <row r="1584" spans="1:9" x14ac:dyDescent="0.2">
      <c r="A1584" s="2">
        <v>10</v>
      </c>
      <c r="B1584" s="1" t="s">
        <v>144</v>
      </c>
      <c r="C1584" s="4">
        <v>6</v>
      </c>
      <c r="D1584" s="8">
        <v>2.4</v>
      </c>
      <c r="E1584" s="4">
        <v>0</v>
      </c>
      <c r="F1584" s="8">
        <v>0</v>
      </c>
      <c r="G1584" s="4">
        <v>6</v>
      </c>
      <c r="H1584" s="8">
        <v>5.45</v>
      </c>
      <c r="I1584" s="4">
        <v>0</v>
      </c>
    </row>
    <row r="1585" spans="1:9" x14ac:dyDescent="0.2">
      <c r="A1585" s="2">
        <v>10</v>
      </c>
      <c r="B1585" s="1" t="s">
        <v>114</v>
      </c>
      <c r="C1585" s="4">
        <v>6</v>
      </c>
      <c r="D1585" s="8">
        <v>2.4</v>
      </c>
      <c r="E1585" s="4">
        <v>5</v>
      </c>
      <c r="F1585" s="8">
        <v>3.65</v>
      </c>
      <c r="G1585" s="4">
        <v>1</v>
      </c>
      <c r="H1585" s="8">
        <v>0.91</v>
      </c>
      <c r="I1585" s="4">
        <v>0</v>
      </c>
    </row>
    <row r="1586" spans="1:9" x14ac:dyDescent="0.2">
      <c r="A1586" s="2">
        <v>10</v>
      </c>
      <c r="B1586" s="1" t="s">
        <v>115</v>
      </c>
      <c r="C1586" s="4">
        <v>6</v>
      </c>
      <c r="D1586" s="8">
        <v>2.4</v>
      </c>
      <c r="E1586" s="4">
        <v>5</v>
      </c>
      <c r="F1586" s="8">
        <v>3.65</v>
      </c>
      <c r="G1586" s="4">
        <v>1</v>
      </c>
      <c r="H1586" s="8">
        <v>0.91</v>
      </c>
      <c r="I1586" s="4">
        <v>0</v>
      </c>
    </row>
    <row r="1587" spans="1:9" x14ac:dyDescent="0.2">
      <c r="A1587" s="2">
        <v>13</v>
      </c>
      <c r="B1587" s="1" t="s">
        <v>125</v>
      </c>
      <c r="C1587" s="4">
        <v>4</v>
      </c>
      <c r="D1587" s="8">
        <v>1.6</v>
      </c>
      <c r="E1587" s="4">
        <v>2</v>
      </c>
      <c r="F1587" s="8">
        <v>1.46</v>
      </c>
      <c r="G1587" s="4">
        <v>2</v>
      </c>
      <c r="H1587" s="8">
        <v>1.82</v>
      </c>
      <c r="I1587" s="4">
        <v>0</v>
      </c>
    </row>
    <row r="1588" spans="1:9" x14ac:dyDescent="0.2">
      <c r="A1588" s="2">
        <v>13</v>
      </c>
      <c r="B1588" s="1" t="s">
        <v>121</v>
      </c>
      <c r="C1588" s="4">
        <v>4</v>
      </c>
      <c r="D1588" s="8">
        <v>1.6</v>
      </c>
      <c r="E1588" s="4">
        <v>1</v>
      </c>
      <c r="F1588" s="8">
        <v>0.73</v>
      </c>
      <c r="G1588" s="4">
        <v>3</v>
      </c>
      <c r="H1588" s="8">
        <v>2.73</v>
      </c>
      <c r="I1588" s="4">
        <v>0</v>
      </c>
    </row>
    <row r="1589" spans="1:9" x14ac:dyDescent="0.2">
      <c r="A1589" s="2">
        <v>13</v>
      </c>
      <c r="B1589" s="1" t="s">
        <v>101</v>
      </c>
      <c r="C1589" s="4">
        <v>4</v>
      </c>
      <c r="D1589" s="8">
        <v>1.6</v>
      </c>
      <c r="E1589" s="4">
        <v>2</v>
      </c>
      <c r="F1589" s="8">
        <v>1.46</v>
      </c>
      <c r="G1589" s="4">
        <v>2</v>
      </c>
      <c r="H1589" s="8">
        <v>1.82</v>
      </c>
      <c r="I1589" s="4">
        <v>0</v>
      </c>
    </row>
    <row r="1590" spans="1:9" x14ac:dyDescent="0.2">
      <c r="A1590" s="2">
        <v>13</v>
      </c>
      <c r="B1590" s="1" t="s">
        <v>117</v>
      </c>
      <c r="C1590" s="4">
        <v>4</v>
      </c>
      <c r="D1590" s="8">
        <v>1.6</v>
      </c>
      <c r="E1590" s="4">
        <v>0</v>
      </c>
      <c r="F1590" s="8">
        <v>0</v>
      </c>
      <c r="G1590" s="4">
        <v>4</v>
      </c>
      <c r="H1590" s="8">
        <v>3.64</v>
      </c>
      <c r="I1590" s="4">
        <v>0</v>
      </c>
    </row>
    <row r="1591" spans="1:9" x14ac:dyDescent="0.2">
      <c r="A1591" s="2">
        <v>13</v>
      </c>
      <c r="B1591" s="1" t="s">
        <v>104</v>
      </c>
      <c r="C1591" s="4">
        <v>4</v>
      </c>
      <c r="D1591" s="8">
        <v>1.6</v>
      </c>
      <c r="E1591" s="4">
        <v>3</v>
      </c>
      <c r="F1591" s="8">
        <v>2.19</v>
      </c>
      <c r="G1591" s="4">
        <v>1</v>
      </c>
      <c r="H1591" s="8">
        <v>0.91</v>
      </c>
      <c r="I1591" s="4">
        <v>0</v>
      </c>
    </row>
    <row r="1592" spans="1:9" x14ac:dyDescent="0.2">
      <c r="A1592" s="2">
        <v>13</v>
      </c>
      <c r="B1592" s="1" t="s">
        <v>118</v>
      </c>
      <c r="C1592" s="4">
        <v>4</v>
      </c>
      <c r="D1592" s="8">
        <v>1.6</v>
      </c>
      <c r="E1592" s="4">
        <v>1</v>
      </c>
      <c r="F1592" s="8">
        <v>0.73</v>
      </c>
      <c r="G1592" s="4">
        <v>3</v>
      </c>
      <c r="H1592" s="8">
        <v>2.73</v>
      </c>
      <c r="I1592" s="4">
        <v>0</v>
      </c>
    </row>
    <row r="1593" spans="1:9" x14ac:dyDescent="0.2">
      <c r="A1593" s="2">
        <v>19</v>
      </c>
      <c r="B1593" s="1" t="s">
        <v>143</v>
      </c>
      <c r="C1593" s="4">
        <v>3</v>
      </c>
      <c r="D1593" s="8">
        <v>1.2</v>
      </c>
      <c r="E1593" s="4">
        <v>1</v>
      </c>
      <c r="F1593" s="8">
        <v>0.73</v>
      </c>
      <c r="G1593" s="4">
        <v>2</v>
      </c>
      <c r="H1593" s="8">
        <v>1.82</v>
      </c>
      <c r="I1593" s="4">
        <v>0</v>
      </c>
    </row>
    <row r="1594" spans="1:9" x14ac:dyDescent="0.2">
      <c r="A1594" s="2">
        <v>19</v>
      </c>
      <c r="B1594" s="1" t="s">
        <v>102</v>
      </c>
      <c r="C1594" s="4">
        <v>3</v>
      </c>
      <c r="D1594" s="8">
        <v>1.2</v>
      </c>
      <c r="E1594" s="4">
        <v>1</v>
      </c>
      <c r="F1594" s="8">
        <v>0.73</v>
      </c>
      <c r="G1594" s="4">
        <v>2</v>
      </c>
      <c r="H1594" s="8">
        <v>1.82</v>
      </c>
      <c r="I1594" s="4">
        <v>0</v>
      </c>
    </row>
    <row r="1595" spans="1:9" x14ac:dyDescent="0.2">
      <c r="A1595" s="2">
        <v>19</v>
      </c>
      <c r="B1595" s="1" t="s">
        <v>122</v>
      </c>
      <c r="C1595" s="4">
        <v>3</v>
      </c>
      <c r="D1595" s="8">
        <v>1.2</v>
      </c>
      <c r="E1595" s="4">
        <v>0</v>
      </c>
      <c r="F1595" s="8">
        <v>0</v>
      </c>
      <c r="G1595" s="4">
        <v>3</v>
      </c>
      <c r="H1595" s="8">
        <v>2.73</v>
      </c>
      <c r="I1595" s="4">
        <v>0</v>
      </c>
    </row>
    <row r="1596" spans="1:9" x14ac:dyDescent="0.2">
      <c r="A1596" s="2">
        <v>19</v>
      </c>
      <c r="B1596" s="1" t="s">
        <v>113</v>
      </c>
      <c r="C1596" s="4">
        <v>3</v>
      </c>
      <c r="D1596" s="8">
        <v>1.2</v>
      </c>
      <c r="E1596" s="4">
        <v>1</v>
      </c>
      <c r="F1596" s="8">
        <v>0.73</v>
      </c>
      <c r="G1596" s="4">
        <v>2</v>
      </c>
      <c r="H1596" s="8">
        <v>1.82</v>
      </c>
      <c r="I1596" s="4">
        <v>0</v>
      </c>
    </row>
    <row r="1597" spans="1:9" x14ac:dyDescent="0.2">
      <c r="A1597" s="1"/>
      <c r="C1597" s="4"/>
      <c r="D1597" s="8"/>
      <c r="E1597" s="4"/>
      <c r="F1597" s="8"/>
      <c r="G1597" s="4"/>
      <c r="H1597" s="8"/>
      <c r="I1597" s="4"/>
    </row>
    <row r="1598" spans="1:9" x14ac:dyDescent="0.2">
      <c r="A1598" s="1" t="s">
        <v>69</v>
      </c>
      <c r="C1598" s="4"/>
      <c r="D1598" s="8"/>
      <c r="E1598" s="4"/>
      <c r="F1598" s="8"/>
      <c r="G1598" s="4"/>
      <c r="H1598" s="8"/>
      <c r="I1598" s="4"/>
    </row>
    <row r="1599" spans="1:9" x14ac:dyDescent="0.2">
      <c r="A1599" s="2">
        <v>1</v>
      </c>
      <c r="B1599" s="1" t="s">
        <v>112</v>
      </c>
      <c r="C1599" s="4">
        <v>65</v>
      </c>
      <c r="D1599" s="8">
        <v>11.9</v>
      </c>
      <c r="E1599" s="4">
        <v>56</v>
      </c>
      <c r="F1599" s="8">
        <v>19.18</v>
      </c>
      <c r="G1599" s="4">
        <v>9</v>
      </c>
      <c r="H1599" s="8">
        <v>3.64</v>
      </c>
      <c r="I1599" s="4">
        <v>0</v>
      </c>
    </row>
    <row r="1600" spans="1:9" x14ac:dyDescent="0.2">
      <c r="A1600" s="2">
        <v>2</v>
      </c>
      <c r="B1600" s="1" t="s">
        <v>111</v>
      </c>
      <c r="C1600" s="4">
        <v>53</v>
      </c>
      <c r="D1600" s="8">
        <v>9.7100000000000009</v>
      </c>
      <c r="E1600" s="4">
        <v>44</v>
      </c>
      <c r="F1600" s="8">
        <v>15.07</v>
      </c>
      <c r="G1600" s="4">
        <v>9</v>
      </c>
      <c r="H1600" s="8">
        <v>3.64</v>
      </c>
      <c r="I1600" s="4">
        <v>0</v>
      </c>
    </row>
    <row r="1601" spans="1:9" x14ac:dyDescent="0.2">
      <c r="A1601" s="2">
        <v>3</v>
      </c>
      <c r="B1601" s="1" t="s">
        <v>97</v>
      </c>
      <c r="C1601" s="4">
        <v>51</v>
      </c>
      <c r="D1601" s="8">
        <v>9.34</v>
      </c>
      <c r="E1601" s="4">
        <v>18</v>
      </c>
      <c r="F1601" s="8">
        <v>6.16</v>
      </c>
      <c r="G1601" s="4">
        <v>33</v>
      </c>
      <c r="H1601" s="8">
        <v>13.36</v>
      </c>
      <c r="I1601" s="4">
        <v>0</v>
      </c>
    </row>
    <row r="1602" spans="1:9" x14ac:dyDescent="0.2">
      <c r="A1602" s="2">
        <v>4</v>
      </c>
      <c r="B1602" s="1" t="s">
        <v>106</v>
      </c>
      <c r="C1602" s="4">
        <v>40</v>
      </c>
      <c r="D1602" s="8">
        <v>7.33</v>
      </c>
      <c r="E1602" s="4">
        <v>21</v>
      </c>
      <c r="F1602" s="8">
        <v>7.19</v>
      </c>
      <c r="G1602" s="4">
        <v>19</v>
      </c>
      <c r="H1602" s="8">
        <v>7.69</v>
      </c>
      <c r="I1602" s="4">
        <v>0</v>
      </c>
    </row>
    <row r="1603" spans="1:9" x14ac:dyDescent="0.2">
      <c r="A1603" s="2">
        <v>5</v>
      </c>
      <c r="B1603" s="1" t="s">
        <v>98</v>
      </c>
      <c r="C1603" s="4">
        <v>26</v>
      </c>
      <c r="D1603" s="8">
        <v>4.76</v>
      </c>
      <c r="E1603" s="4">
        <v>14</v>
      </c>
      <c r="F1603" s="8">
        <v>4.79</v>
      </c>
      <c r="G1603" s="4">
        <v>12</v>
      </c>
      <c r="H1603" s="8">
        <v>4.8600000000000003</v>
      </c>
      <c r="I1603" s="4">
        <v>0</v>
      </c>
    </row>
    <row r="1604" spans="1:9" x14ac:dyDescent="0.2">
      <c r="A1604" s="2">
        <v>6</v>
      </c>
      <c r="B1604" s="1" t="s">
        <v>114</v>
      </c>
      <c r="C1604" s="4">
        <v>23</v>
      </c>
      <c r="D1604" s="8">
        <v>4.21</v>
      </c>
      <c r="E1604" s="4">
        <v>10</v>
      </c>
      <c r="F1604" s="8">
        <v>3.42</v>
      </c>
      <c r="G1604" s="4">
        <v>7</v>
      </c>
      <c r="H1604" s="8">
        <v>2.83</v>
      </c>
      <c r="I1604" s="4">
        <v>0</v>
      </c>
    </row>
    <row r="1605" spans="1:9" x14ac:dyDescent="0.2">
      <c r="A1605" s="2">
        <v>7</v>
      </c>
      <c r="B1605" s="1" t="s">
        <v>115</v>
      </c>
      <c r="C1605" s="4">
        <v>21</v>
      </c>
      <c r="D1605" s="8">
        <v>3.85</v>
      </c>
      <c r="E1605" s="4">
        <v>17</v>
      </c>
      <c r="F1605" s="8">
        <v>5.82</v>
      </c>
      <c r="G1605" s="4">
        <v>4</v>
      </c>
      <c r="H1605" s="8">
        <v>1.62</v>
      </c>
      <c r="I1605" s="4">
        <v>0</v>
      </c>
    </row>
    <row r="1606" spans="1:9" x14ac:dyDescent="0.2">
      <c r="A1606" s="2">
        <v>8</v>
      </c>
      <c r="B1606" s="1" t="s">
        <v>104</v>
      </c>
      <c r="C1606" s="4">
        <v>20</v>
      </c>
      <c r="D1606" s="8">
        <v>3.66</v>
      </c>
      <c r="E1606" s="4">
        <v>14</v>
      </c>
      <c r="F1606" s="8">
        <v>4.79</v>
      </c>
      <c r="G1606" s="4">
        <v>6</v>
      </c>
      <c r="H1606" s="8">
        <v>2.4300000000000002</v>
      </c>
      <c r="I1606" s="4">
        <v>0</v>
      </c>
    </row>
    <row r="1607" spans="1:9" x14ac:dyDescent="0.2">
      <c r="A1607" s="2">
        <v>9</v>
      </c>
      <c r="B1607" s="1" t="s">
        <v>99</v>
      </c>
      <c r="C1607" s="4">
        <v>18</v>
      </c>
      <c r="D1607" s="8">
        <v>3.3</v>
      </c>
      <c r="E1607" s="4">
        <v>7</v>
      </c>
      <c r="F1607" s="8">
        <v>2.4</v>
      </c>
      <c r="G1607" s="4">
        <v>11</v>
      </c>
      <c r="H1607" s="8">
        <v>4.45</v>
      </c>
      <c r="I1607" s="4">
        <v>0</v>
      </c>
    </row>
    <row r="1608" spans="1:9" x14ac:dyDescent="0.2">
      <c r="A1608" s="2">
        <v>9</v>
      </c>
      <c r="B1608" s="1" t="s">
        <v>105</v>
      </c>
      <c r="C1608" s="4">
        <v>18</v>
      </c>
      <c r="D1608" s="8">
        <v>3.3</v>
      </c>
      <c r="E1608" s="4">
        <v>11</v>
      </c>
      <c r="F1608" s="8">
        <v>3.77</v>
      </c>
      <c r="G1608" s="4">
        <v>7</v>
      </c>
      <c r="H1608" s="8">
        <v>2.83</v>
      </c>
      <c r="I1608" s="4">
        <v>0</v>
      </c>
    </row>
    <row r="1609" spans="1:9" x14ac:dyDescent="0.2">
      <c r="A1609" s="2">
        <v>9</v>
      </c>
      <c r="B1609" s="1" t="s">
        <v>108</v>
      </c>
      <c r="C1609" s="4">
        <v>18</v>
      </c>
      <c r="D1609" s="8">
        <v>3.3</v>
      </c>
      <c r="E1609" s="4">
        <v>8</v>
      </c>
      <c r="F1609" s="8">
        <v>2.74</v>
      </c>
      <c r="G1609" s="4">
        <v>10</v>
      </c>
      <c r="H1609" s="8">
        <v>4.05</v>
      </c>
      <c r="I1609" s="4">
        <v>0</v>
      </c>
    </row>
    <row r="1610" spans="1:9" x14ac:dyDescent="0.2">
      <c r="A1610" s="2">
        <v>12</v>
      </c>
      <c r="B1610" s="1" t="s">
        <v>103</v>
      </c>
      <c r="C1610" s="4">
        <v>15</v>
      </c>
      <c r="D1610" s="8">
        <v>2.75</v>
      </c>
      <c r="E1610" s="4">
        <v>6</v>
      </c>
      <c r="F1610" s="8">
        <v>2.0499999999999998</v>
      </c>
      <c r="G1610" s="4">
        <v>9</v>
      </c>
      <c r="H1610" s="8">
        <v>3.64</v>
      </c>
      <c r="I1610" s="4">
        <v>0</v>
      </c>
    </row>
    <row r="1611" spans="1:9" x14ac:dyDescent="0.2">
      <c r="A1611" s="2">
        <v>13</v>
      </c>
      <c r="B1611" s="1" t="s">
        <v>116</v>
      </c>
      <c r="C1611" s="4">
        <v>14</v>
      </c>
      <c r="D1611" s="8">
        <v>2.56</v>
      </c>
      <c r="E1611" s="4">
        <v>12</v>
      </c>
      <c r="F1611" s="8">
        <v>4.1100000000000003</v>
      </c>
      <c r="G1611" s="4">
        <v>2</v>
      </c>
      <c r="H1611" s="8">
        <v>0.81</v>
      </c>
      <c r="I1611" s="4">
        <v>0</v>
      </c>
    </row>
    <row r="1612" spans="1:9" x14ac:dyDescent="0.2">
      <c r="A1612" s="2">
        <v>14</v>
      </c>
      <c r="B1612" s="1" t="s">
        <v>113</v>
      </c>
      <c r="C1612" s="4">
        <v>12</v>
      </c>
      <c r="D1612" s="8">
        <v>2.2000000000000002</v>
      </c>
      <c r="E1612" s="4">
        <v>6</v>
      </c>
      <c r="F1612" s="8">
        <v>2.0499999999999998</v>
      </c>
      <c r="G1612" s="4">
        <v>6</v>
      </c>
      <c r="H1612" s="8">
        <v>2.4300000000000002</v>
      </c>
      <c r="I1612" s="4">
        <v>0</v>
      </c>
    </row>
    <row r="1613" spans="1:9" x14ac:dyDescent="0.2">
      <c r="A1613" s="2">
        <v>15</v>
      </c>
      <c r="B1613" s="1" t="s">
        <v>107</v>
      </c>
      <c r="C1613" s="4">
        <v>11</v>
      </c>
      <c r="D1613" s="8">
        <v>2.0099999999999998</v>
      </c>
      <c r="E1613" s="4">
        <v>4</v>
      </c>
      <c r="F1613" s="8">
        <v>1.37</v>
      </c>
      <c r="G1613" s="4">
        <v>7</v>
      </c>
      <c r="H1613" s="8">
        <v>2.83</v>
      </c>
      <c r="I1613" s="4">
        <v>0</v>
      </c>
    </row>
    <row r="1614" spans="1:9" x14ac:dyDescent="0.2">
      <c r="A1614" s="2">
        <v>16</v>
      </c>
      <c r="B1614" s="1" t="s">
        <v>100</v>
      </c>
      <c r="C1614" s="4">
        <v>9</v>
      </c>
      <c r="D1614" s="8">
        <v>1.65</v>
      </c>
      <c r="E1614" s="4">
        <v>1</v>
      </c>
      <c r="F1614" s="8">
        <v>0.34</v>
      </c>
      <c r="G1614" s="4">
        <v>8</v>
      </c>
      <c r="H1614" s="8">
        <v>3.24</v>
      </c>
      <c r="I1614" s="4">
        <v>0</v>
      </c>
    </row>
    <row r="1615" spans="1:9" x14ac:dyDescent="0.2">
      <c r="A1615" s="2">
        <v>17</v>
      </c>
      <c r="B1615" s="1" t="s">
        <v>101</v>
      </c>
      <c r="C1615" s="4">
        <v>8</v>
      </c>
      <c r="D1615" s="8">
        <v>1.47</v>
      </c>
      <c r="E1615" s="4">
        <v>3</v>
      </c>
      <c r="F1615" s="8">
        <v>1.03</v>
      </c>
      <c r="G1615" s="4">
        <v>5</v>
      </c>
      <c r="H1615" s="8">
        <v>2.02</v>
      </c>
      <c r="I1615" s="4">
        <v>0</v>
      </c>
    </row>
    <row r="1616" spans="1:9" x14ac:dyDescent="0.2">
      <c r="A1616" s="2">
        <v>17</v>
      </c>
      <c r="B1616" s="1" t="s">
        <v>110</v>
      </c>
      <c r="C1616" s="4">
        <v>8</v>
      </c>
      <c r="D1616" s="8">
        <v>1.47</v>
      </c>
      <c r="E1616" s="4">
        <v>4</v>
      </c>
      <c r="F1616" s="8">
        <v>1.37</v>
      </c>
      <c r="G1616" s="4">
        <v>4</v>
      </c>
      <c r="H1616" s="8">
        <v>1.62</v>
      </c>
      <c r="I1616" s="4">
        <v>0</v>
      </c>
    </row>
    <row r="1617" spans="1:9" x14ac:dyDescent="0.2">
      <c r="A1617" s="2">
        <v>19</v>
      </c>
      <c r="B1617" s="1" t="s">
        <v>102</v>
      </c>
      <c r="C1617" s="4">
        <v>7</v>
      </c>
      <c r="D1617" s="8">
        <v>1.28</v>
      </c>
      <c r="E1617" s="4">
        <v>0</v>
      </c>
      <c r="F1617" s="8">
        <v>0</v>
      </c>
      <c r="G1617" s="4">
        <v>7</v>
      </c>
      <c r="H1617" s="8">
        <v>2.83</v>
      </c>
      <c r="I1617" s="4">
        <v>0</v>
      </c>
    </row>
    <row r="1618" spans="1:9" x14ac:dyDescent="0.2">
      <c r="A1618" s="2">
        <v>19</v>
      </c>
      <c r="B1618" s="1" t="s">
        <v>109</v>
      </c>
      <c r="C1618" s="4">
        <v>7</v>
      </c>
      <c r="D1618" s="8">
        <v>1.28</v>
      </c>
      <c r="E1618" s="4">
        <v>5</v>
      </c>
      <c r="F1618" s="8">
        <v>1.71</v>
      </c>
      <c r="G1618" s="4">
        <v>2</v>
      </c>
      <c r="H1618" s="8">
        <v>0.81</v>
      </c>
      <c r="I1618" s="4">
        <v>0</v>
      </c>
    </row>
    <row r="1619" spans="1:9" x14ac:dyDescent="0.2">
      <c r="A1619" s="2">
        <v>19</v>
      </c>
      <c r="B1619" s="1" t="s">
        <v>118</v>
      </c>
      <c r="C1619" s="4">
        <v>7</v>
      </c>
      <c r="D1619" s="8">
        <v>1.28</v>
      </c>
      <c r="E1619" s="4">
        <v>0</v>
      </c>
      <c r="F1619" s="8">
        <v>0</v>
      </c>
      <c r="G1619" s="4">
        <v>6</v>
      </c>
      <c r="H1619" s="8">
        <v>2.4300000000000002</v>
      </c>
      <c r="I1619" s="4">
        <v>1</v>
      </c>
    </row>
    <row r="1620" spans="1:9" x14ac:dyDescent="0.2">
      <c r="A1620" s="1"/>
      <c r="C1620" s="4"/>
      <c r="D1620" s="8"/>
      <c r="E1620" s="4"/>
      <c r="F1620" s="8"/>
      <c r="G1620" s="4"/>
      <c r="H1620" s="8"/>
      <c r="I1620" s="4"/>
    </row>
    <row r="1621" spans="1:9" x14ac:dyDescent="0.2">
      <c r="A1621" s="1" t="s">
        <v>70</v>
      </c>
      <c r="C1621" s="4"/>
      <c r="D1621" s="8"/>
      <c r="E1621" s="4"/>
      <c r="F1621" s="8"/>
      <c r="G1621" s="4"/>
      <c r="H1621" s="8"/>
      <c r="I1621" s="4"/>
    </row>
    <row r="1622" spans="1:9" x14ac:dyDescent="0.2">
      <c r="A1622" s="2">
        <v>1</v>
      </c>
      <c r="B1622" s="1" t="s">
        <v>111</v>
      </c>
      <c r="C1622" s="4">
        <v>96</v>
      </c>
      <c r="D1622" s="8">
        <v>13.13</v>
      </c>
      <c r="E1622" s="4">
        <v>88</v>
      </c>
      <c r="F1622" s="8">
        <v>20.75</v>
      </c>
      <c r="G1622" s="4">
        <v>8</v>
      </c>
      <c r="H1622" s="8">
        <v>2.68</v>
      </c>
      <c r="I1622" s="4">
        <v>0</v>
      </c>
    </row>
    <row r="1623" spans="1:9" x14ac:dyDescent="0.2">
      <c r="A1623" s="2">
        <v>2</v>
      </c>
      <c r="B1623" s="1" t="s">
        <v>112</v>
      </c>
      <c r="C1623" s="4">
        <v>77</v>
      </c>
      <c r="D1623" s="8">
        <v>10.53</v>
      </c>
      <c r="E1623" s="4">
        <v>69</v>
      </c>
      <c r="F1623" s="8">
        <v>16.27</v>
      </c>
      <c r="G1623" s="4">
        <v>8</v>
      </c>
      <c r="H1623" s="8">
        <v>2.68</v>
      </c>
      <c r="I1623" s="4">
        <v>0</v>
      </c>
    </row>
    <row r="1624" spans="1:9" x14ac:dyDescent="0.2">
      <c r="A1624" s="2">
        <v>3</v>
      </c>
      <c r="B1624" s="1" t="s">
        <v>106</v>
      </c>
      <c r="C1624" s="4">
        <v>52</v>
      </c>
      <c r="D1624" s="8">
        <v>7.11</v>
      </c>
      <c r="E1624" s="4">
        <v>33</v>
      </c>
      <c r="F1624" s="8">
        <v>7.78</v>
      </c>
      <c r="G1624" s="4">
        <v>19</v>
      </c>
      <c r="H1624" s="8">
        <v>6.35</v>
      </c>
      <c r="I1624" s="4">
        <v>0</v>
      </c>
    </row>
    <row r="1625" spans="1:9" x14ac:dyDescent="0.2">
      <c r="A1625" s="2">
        <v>4</v>
      </c>
      <c r="B1625" s="1" t="s">
        <v>97</v>
      </c>
      <c r="C1625" s="4">
        <v>48</v>
      </c>
      <c r="D1625" s="8">
        <v>6.57</v>
      </c>
      <c r="E1625" s="4">
        <v>22</v>
      </c>
      <c r="F1625" s="8">
        <v>5.19</v>
      </c>
      <c r="G1625" s="4">
        <v>26</v>
      </c>
      <c r="H1625" s="8">
        <v>8.6999999999999993</v>
      </c>
      <c r="I1625" s="4">
        <v>0</v>
      </c>
    </row>
    <row r="1626" spans="1:9" x14ac:dyDescent="0.2">
      <c r="A1626" s="2">
        <v>5</v>
      </c>
      <c r="B1626" s="1" t="s">
        <v>98</v>
      </c>
      <c r="C1626" s="4">
        <v>35</v>
      </c>
      <c r="D1626" s="8">
        <v>4.79</v>
      </c>
      <c r="E1626" s="4">
        <v>21</v>
      </c>
      <c r="F1626" s="8">
        <v>4.95</v>
      </c>
      <c r="G1626" s="4">
        <v>14</v>
      </c>
      <c r="H1626" s="8">
        <v>4.68</v>
      </c>
      <c r="I1626" s="4">
        <v>0</v>
      </c>
    </row>
    <row r="1627" spans="1:9" x14ac:dyDescent="0.2">
      <c r="A1627" s="2">
        <v>5</v>
      </c>
      <c r="B1627" s="1" t="s">
        <v>104</v>
      </c>
      <c r="C1627" s="4">
        <v>35</v>
      </c>
      <c r="D1627" s="8">
        <v>4.79</v>
      </c>
      <c r="E1627" s="4">
        <v>27</v>
      </c>
      <c r="F1627" s="8">
        <v>6.37</v>
      </c>
      <c r="G1627" s="4">
        <v>8</v>
      </c>
      <c r="H1627" s="8">
        <v>2.68</v>
      </c>
      <c r="I1627" s="4">
        <v>0</v>
      </c>
    </row>
    <row r="1628" spans="1:9" x14ac:dyDescent="0.2">
      <c r="A1628" s="2">
        <v>7</v>
      </c>
      <c r="B1628" s="1" t="s">
        <v>99</v>
      </c>
      <c r="C1628" s="4">
        <v>28</v>
      </c>
      <c r="D1628" s="8">
        <v>3.83</v>
      </c>
      <c r="E1628" s="4">
        <v>7</v>
      </c>
      <c r="F1628" s="8">
        <v>1.65</v>
      </c>
      <c r="G1628" s="4">
        <v>21</v>
      </c>
      <c r="H1628" s="8">
        <v>7.02</v>
      </c>
      <c r="I1628" s="4">
        <v>0</v>
      </c>
    </row>
    <row r="1629" spans="1:9" x14ac:dyDescent="0.2">
      <c r="A1629" s="2">
        <v>7</v>
      </c>
      <c r="B1629" s="1" t="s">
        <v>115</v>
      </c>
      <c r="C1629" s="4">
        <v>28</v>
      </c>
      <c r="D1629" s="8">
        <v>3.83</v>
      </c>
      <c r="E1629" s="4">
        <v>26</v>
      </c>
      <c r="F1629" s="8">
        <v>6.13</v>
      </c>
      <c r="G1629" s="4">
        <v>2</v>
      </c>
      <c r="H1629" s="8">
        <v>0.67</v>
      </c>
      <c r="I1629" s="4">
        <v>0</v>
      </c>
    </row>
    <row r="1630" spans="1:9" x14ac:dyDescent="0.2">
      <c r="A1630" s="2">
        <v>9</v>
      </c>
      <c r="B1630" s="1" t="s">
        <v>105</v>
      </c>
      <c r="C1630" s="4">
        <v>25</v>
      </c>
      <c r="D1630" s="8">
        <v>3.42</v>
      </c>
      <c r="E1630" s="4">
        <v>13</v>
      </c>
      <c r="F1630" s="8">
        <v>3.07</v>
      </c>
      <c r="G1630" s="4">
        <v>12</v>
      </c>
      <c r="H1630" s="8">
        <v>4.01</v>
      </c>
      <c r="I1630" s="4">
        <v>0</v>
      </c>
    </row>
    <row r="1631" spans="1:9" x14ac:dyDescent="0.2">
      <c r="A1631" s="2">
        <v>10</v>
      </c>
      <c r="B1631" s="1" t="s">
        <v>114</v>
      </c>
      <c r="C1631" s="4">
        <v>24</v>
      </c>
      <c r="D1631" s="8">
        <v>3.28</v>
      </c>
      <c r="E1631" s="4">
        <v>19</v>
      </c>
      <c r="F1631" s="8">
        <v>4.4800000000000004</v>
      </c>
      <c r="G1631" s="4">
        <v>4</v>
      </c>
      <c r="H1631" s="8">
        <v>1.34</v>
      </c>
      <c r="I1631" s="4">
        <v>0</v>
      </c>
    </row>
    <row r="1632" spans="1:9" x14ac:dyDescent="0.2">
      <c r="A1632" s="2">
        <v>11</v>
      </c>
      <c r="B1632" s="1" t="s">
        <v>108</v>
      </c>
      <c r="C1632" s="4">
        <v>22</v>
      </c>
      <c r="D1632" s="8">
        <v>3.01</v>
      </c>
      <c r="E1632" s="4">
        <v>7</v>
      </c>
      <c r="F1632" s="8">
        <v>1.65</v>
      </c>
      <c r="G1632" s="4">
        <v>15</v>
      </c>
      <c r="H1632" s="8">
        <v>5.0199999999999996</v>
      </c>
      <c r="I1632" s="4">
        <v>0</v>
      </c>
    </row>
    <row r="1633" spans="1:9" x14ac:dyDescent="0.2">
      <c r="A1633" s="2">
        <v>12</v>
      </c>
      <c r="B1633" s="1" t="s">
        <v>116</v>
      </c>
      <c r="C1633" s="4">
        <v>20</v>
      </c>
      <c r="D1633" s="8">
        <v>2.74</v>
      </c>
      <c r="E1633" s="4">
        <v>18</v>
      </c>
      <c r="F1633" s="8">
        <v>4.25</v>
      </c>
      <c r="G1633" s="4">
        <v>2</v>
      </c>
      <c r="H1633" s="8">
        <v>0.67</v>
      </c>
      <c r="I1633" s="4">
        <v>0</v>
      </c>
    </row>
    <row r="1634" spans="1:9" x14ac:dyDescent="0.2">
      <c r="A1634" s="2">
        <v>13</v>
      </c>
      <c r="B1634" s="1" t="s">
        <v>110</v>
      </c>
      <c r="C1634" s="4">
        <v>19</v>
      </c>
      <c r="D1634" s="8">
        <v>2.6</v>
      </c>
      <c r="E1634" s="4">
        <v>9</v>
      </c>
      <c r="F1634" s="8">
        <v>2.12</v>
      </c>
      <c r="G1634" s="4">
        <v>10</v>
      </c>
      <c r="H1634" s="8">
        <v>3.34</v>
      </c>
      <c r="I1634" s="4">
        <v>0</v>
      </c>
    </row>
    <row r="1635" spans="1:9" x14ac:dyDescent="0.2">
      <c r="A1635" s="2">
        <v>14</v>
      </c>
      <c r="B1635" s="1" t="s">
        <v>107</v>
      </c>
      <c r="C1635" s="4">
        <v>18</v>
      </c>
      <c r="D1635" s="8">
        <v>2.46</v>
      </c>
      <c r="E1635" s="4">
        <v>2</v>
      </c>
      <c r="F1635" s="8">
        <v>0.47</v>
      </c>
      <c r="G1635" s="4">
        <v>16</v>
      </c>
      <c r="H1635" s="8">
        <v>5.35</v>
      </c>
      <c r="I1635" s="4">
        <v>0</v>
      </c>
    </row>
    <row r="1636" spans="1:9" x14ac:dyDescent="0.2">
      <c r="A1636" s="2">
        <v>15</v>
      </c>
      <c r="B1636" s="1" t="s">
        <v>118</v>
      </c>
      <c r="C1636" s="4">
        <v>16</v>
      </c>
      <c r="D1636" s="8">
        <v>2.19</v>
      </c>
      <c r="E1636" s="4">
        <v>0</v>
      </c>
      <c r="F1636" s="8">
        <v>0</v>
      </c>
      <c r="G1636" s="4">
        <v>13</v>
      </c>
      <c r="H1636" s="8">
        <v>4.3499999999999996</v>
      </c>
      <c r="I1636" s="4">
        <v>0</v>
      </c>
    </row>
    <row r="1637" spans="1:9" x14ac:dyDescent="0.2">
      <c r="A1637" s="2">
        <v>16</v>
      </c>
      <c r="B1637" s="1" t="s">
        <v>103</v>
      </c>
      <c r="C1637" s="4">
        <v>13</v>
      </c>
      <c r="D1637" s="8">
        <v>1.78</v>
      </c>
      <c r="E1637" s="4">
        <v>9</v>
      </c>
      <c r="F1637" s="8">
        <v>2.12</v>
      </c>
      <c r="G1637" s="4">
        <v>4</v>
      </c>
      <c r="H1637" s="8">
        <v>1.34</v>
      </c>
      <c r="I1637" s="4">
        <v>0</v>
      </c>
    </row>
    <row r="1638" spans="1:9" x14ac:dyDescent="0.2">
      <c r="A1638" s="2">
        <v>17</v>
      </c>
      <c r="B1638" s="1" t="s">
        <v>100</v>
      </c>
      <c r="C1638" s="4">
        <v>11</v>
      </c>
      <c r="D1638" s="8">
        <v>1.5</v>
      </c>
      <c r="E1638" s="4">
        <v>4</v>
      </c>
      <c r="F1638" s="8">
        <v>0.94</v>
      </c>
      <c r="G1638" s="4">
        <v>7</v>
      </c>
      <c r="H1638" s="8">
        <v>2.34</v>
      </c>
      <c r="I1638" s="4">
        <v>0</v>
      </c>
    </row>
    <row r="1639" spans="1:9" x14ac:dyDescent="0.2">
      <c r="A1639" s="2">
        <v>17</v>
      </c>
      <c r="B1639" s="1" t="s">
        <v>113</v>
      </c>
      <c r="C1639" s="4">
        <v>11</v>
      </c>
      <c r="D1639" s="8">
        <v>1.5</v>
      </c>
      <c r="E1639" s="4">
        <v>4</v>
      </c>
      <c r="F1639" s="8">
        <v>0.94</v>
      </c>
      <c r="G1639" s="4">
        <v>7</v>
      </c>
      <c r="H1639" s="8">
        <v>2.34</v>
      </c>
      <c r="I1639" s="4">
        <v>0</v>
      </c>
    </row>
    <row r="1640" spans="1:9" x14ac:dyDescent="0.2">
      <c r="A1640" s="2">
        <v>19</v>
      </c>
      <c r="B1640" s="1" t="s">
        <v>101</v>
      </c>
      <c r="C1640" s="4">
        <v>10</v>
      </c>
      <c r="D1640" s="8">
        <v>1.37</v>
      </c>
      <c r="E1640" s="4">
        <v>2</v>
      </c>
      <c r="F1640" s="8">
        <v>0.47</v>
      </c>
      <c r="G1640" s="4">
        <v>8</v>
      </c>
      <c r="H1640" s="8">
        <v>2.68</v>
      </c>
      <c r="I1640" s="4">
        <v>0</v>
      </c>
    </row>
    <row r="1641" spans="1:9" x14ac:dyDescent="0.2">
      <c r="A1641" s="2">
        <v>19</v>
      </c>
      <c r="B1641" s="1" t="s">
        <v>119</v>
      </c>
      <c r="C1641" s="4">
        <v>10</v>
      </c>
      <c r="D1641" s="8">
        <v>1.37</v>
      </c>
      <c r="E1641" s="4">
        <v>2</v>
      </c>
      <c r="F1641" s="8">
        <v>0.47</v>
      </c>
      <c r="G1641" s="4">
        <v>7</v>
      </c>
      <c r="H1641" s="8">
        <v>2.34</v>
      </c>
      <c r="I1641" s="4">
        <v>1</v>
      </c>
    </row>
    <row r="1642" spans="1:9" x14ac:dyDescent="0.2">
      <c r="A1642" s="1"/>
      <c r="C1642" s="4"/>
      <c r="D1642" s="8"/>
      <c r="E1642" s="4"/>
      <c r="F1642" s="8"/>
      <c r="G1642" s="4"/>
      <c r="H1642" s="8"/>
      <c r="I1642" s="4"/>
    </row>
    <row r="1643" spans="1:9" x14ac:dyDescent="0.2">
      <c r="A1643" s="1" t="s">
        <v>71</v>
      </c>
      <c r="C1643" s="4"/>
      <c r="D1643" s="8"/>
      <c r="E1643" s="4"/>
      <c r="F1643" s="8"/>
      <c r="G1643" s="4"/>
      <c r="H1643" s="8"/>
      <c r="I1643" s="4"/>
    </row>
    <row r="1644" spans="1:9" x14ac:dyDescent="0.2">
      <c r="A1644" s="2">
        <v>1</v>
      </c>
      <c r="B1644" s="1" t="s">
        <v>108</v>
      </c>
      <c r="C1644" s="4">
        <v>92</v>
      </c>
      <c r="D1644" s="8">
        <v>13.94</v>
      </c>
      <c r="E1644" s="4">
        <v>65</v>
      </c>
      <c r="F1644" s="8">
        <v>15.48</v>
      </c>
      <c r="G1644" s="4">
        <v>27</v>
      </c>
      <c r="H1644" s="8">
        <v>11.25</v>
      </c>
      <c r="I1644" s="4">
        <v>0</v>
      </c>
    </row>
    <row r="1645" spans="1:9" x14ac:dyDescent="0.2">
      <c r="A1645" s="2">
        <v>2</v>
      </c>
      <c r="B1645" s="1" t="s">
        <v>112</v>
      </c>
      <c r="C1645" s="4">
        <v>79</v>
      </c>
      <c r="D1645" s="8">
        <v>11.97</v>
      </c>
      <c r="E1645" s="4">
        <v>70</v>
      </c>
      <c r="F1645" s="8">
        <v>16.670000000000002</v>
      </c>
      <c r="G1645" s="4">
        <v>9</v>
      </c>
      <c r="H1645" s="8">
        <v>3.75</v>
      </c>
      <c r="I1645" s="4">
        <v>0</v>
      </c>
    </row>
    <row r="1646" spans="1:9" x14ac:dyDescent="0.2">
      <c r="A1646" s="2">
        <v>3</v>
      </c>
      <c r="B1646" s="1" t="s">
        <v>111</v>
      </c>
      <c r="C1646" s="4">
        <v>65</v>
      </c>
      <c r="D1646" s="8">
        <v>9.85</v>
      </c>
      <c r="E1646" s="4">
        <v>59</v>
      </c>
      <c r="F1646" s="8">
        <v>14.05</v>
      </c>
      <c r="G1646" s="4">
        <v>6</v>
      </c>
      <c r="H1646" s="8">
        <v>2.5</v>
      </c>
      <c r="I1646" s="4">
        <v>0</v>
      </c>
    </row>
    <row r="1647" spans="1:9" x14ac:dyDescent="0.2">
      <c r="A1647" s="2">
        <v>4</v>
      </c>
      <c r="B1647" s="1" t="s">
        <v>99</v>
      </c>
      <c r="C1647" s="4">
        <v>36</v>
      </c>
      <c r="D1647" s="8">
        <v>5.45</v>
      </c>
      <c r="E1647" s="4">
        <v>4</v>
      </c>
      <c r="F1647" s="8">
        <v>0.95</v>
      </c>
      <c r="G1647" s="4">
        <v>32</v>
      </c>
      <c r="H1647" s="8">
        <v>13.33</v>
      </c>
      <c r="I1647" s="4">
        <v>0</v>
      </c>
    </row>
    <row r="1648" spans="1:9" x14ac:dyDescent="0.2">
      <c r="A1648" s="2">
        <v>4</v>
      </c>
      <c r="B1648" s="1" t="s">
        <v>106</v>
      </c>
      <c r="C1648" s="4">
        <v>36</v>
      </c>
      <c r="D1648" s="8">
        <v>5.45</v>
      </c>
      <c r="E1648" s="4">
        <v>25</v>
      </c>
      <c r="F1648" s="8">
        <v>5.95</v>
      </c>
      <c r="G1648" s="4">
        <v>11</v>
      </c>
      <c r="H1648" s="8">
        <v>4.58</v>
      </c>
      <c r="I1648" s="4">
        <v>0</v>
      </c>
    </row>
    <row r="1649" spans="1:9" x14ac:dyDescent="0.2">
      <c r="A1649" s="2">
        <v>6</v>
      </c>
      <c r="B1649" s="1" t="s">
        <v>97</v>
      </c>
      <c r="C1649" s="4">
        <v>35</v>
      </c>
      <c r="D1649" s="8">
        <v>5.3</v>
      </c>
      <c r="E1649" s="4">
        <v>13</v>
      </c>
      <c r="F1649" s="8">
        <v>3.1</v>
      </c>
      <c r="G1649" s="4">
        <v>22</v>
      </c>
      <c r="H1649" s="8">
        <v>9.17</v>
      </c>
      <c r="I1649" s="4">
        <v>0</v>
      </c>
    </row>
    <row r="1650" spans="1:9" x14ac:dyDescent="0.2">
      <c r="A1650" s="2">
        <v>7</v>
      </c>
      <c r="B1650" s="1" t="s">
        <v>104</v>
      </c>
      <c r="C1650" s="4">
        <v>30</v>
      </c>
      <c r="D1650" s="8">
        <v>4.55</v>
      </c>
      <c r="E1650" s="4">
        <v>21</v>
      </c>
      <c r="F1650" s="8">
        <v>5</v>
      </c>
      <c r="G1650" s="4">
        <v>9</v>
      </c>
      <c r="H1650" s="8">
        <v>3.75</v>
      </c>
      <c r="I1650" s="4">
        <v>0</v>
      </c>
    </row>
    <row r="1651" spans="1:9" x14ac:dyDescent="0.2">
      <c r="A1651" s="2">
        <v>8</v>
      </c>
      <c r="B1651" s="1" t="s">
        <v>98</v>
      </c>
      <c r="C1651" s="4">
        <v>29</v>
      </c>
      <c r="D1651" s="8">
        <v>4.3899999999999997</v>
      </c>
      <c r="E1651" s="4">
        <v>12</v>
      </c>
      <c r="F1651" s="8">
        <v>2.86</v>
      </c>
      <c r="G1651" s="4">
        <v>17</v>
      </c>
      <c r="H1651" s="8">
        <v>7.08</v>
      </c>
      <c r="I1651" s="4">
        <v>0</v>
      </c>
    </row>
    <row r="1652" spans="1:9" x14ac:dyDescent="0.2">
      <c r="A1652" s="2">
        <v>9</v>
      </c>
      <c r="B1652" s="1" t="s">
        <v>114</v>
      </c>
      <c r="C1652" s="4">
        <v>24</v>
      </c>
      <c r="D1652" s="8">
        <v>3.64</v>
      </c>
      <c r="E1652" s="4">
        <v>21</v>
      </c>
      <c r="F1652" s="8">
        <v>5</v>
      </c>
      <c r="G1652" s="4">
        <v>3</v>
      </c>
      <c r="H1652" s="8">
        <v>1.25</v>
      </c>
      <c r="I1652" s="4">
        <v>0</v>
      </c>
    </row>
    <row r="1653" spans="1:9" x14ac:dyDescent="0.2">
      <c r="A1653" s="2">
        <v>10</v>
      </c>
      <c r="B1653" s="1" t="s">
        <v>115</v>
      </c>
      <c r="C1653" s="4">
        <v>22</v>
      </c>
      <c r="D1653" s="8">
        <v>3.33</v>
      </c>
      <c r="E1653" s="4">
        <v>20</v>
      </c>
      <c r="F1653" s="8">
        <v>4.76</v>
      </c>
      <c r="G1653" s="4">
        <v>2</v>
      </c>
      <c r="H1653" s="8">
        <v>0.83</v>
      </c>
      <c r="I1653" s="4">
        <v>0</v>
      </c>
    </row>
    <row r="1654" spans="1:9" x14ac:dyDescent="0.2">
      <c r="A1654" s="2">
        <v>11</v>
      </c>
      <c r="B1654" s="1" t="s">
        <v>109</v>
      </c>
      <c r="C1654" s="4">
        <v>21</v>
      </c>
      <c r="D1654" s="8">
        <v>3.18</v>
      </c>
      <c r="E1654" s="4">
        <v>14</v>
      </c>
      <c r="F1654" s="8">
        <v>3.33</v>
      </c>
      <c r="G1654" s="4">
        <v>7</v>
      </c>
      <c r="H1654" s="8">
        <v>2.92</v>
      </c>
      <c r="I1654" s="4">
        <v>0</v>
      </c>
    </row>
    <row r="1655" spans="1:9" x14ac:dyDescent="0.2">
      <c r="A1655" s="2">
        <v>12</v>
      </c>
      <c r="B1655" s="1" t="s">
        <v>105</v>
      </c>
      <c r="C1655" s="4">
        <v>20</v>
      </c>
      <c r="D1655" s="8">
        <v>3.03</v>
      </c>
      <c r="E1655" s="4">
        <v>15</v>
      </c>
      <c r="F1655" s="8">
        <v>3.57</v>
      </c>
      <c r="G1655" s="4">
        <v>5</v>
      </c>
      <c r="H1655" s="8">
        <v>2.08</v>
      </c>
      <c r="I1655" s="4">
        <v>0</v>
      </c>
    </row>
    <row r="1656" spans="1:9" x14ac:dyDescent="0.2">
      <c r="A1656" s="2">
        <v>12</v>
      </c>
      <c r="B1656" s="1" t="s">
        <v>113</v>
      </c>
      <c r="C1656" s="4">
        <v>20</v>
      </c>
      <c r="D1656" s="8">
        <v>3.03</v>
      </c>
      <c r="E1656" s="4">
        <v>18</v>
      </c>
      <c r="F1656" s="8">
        <v>4.29</v>
      </c>
      <c r="G1656" s="4">
        <v>2</v>
      </c>
      <c r="H1656" s="8">
        <v>0.83</v>
      </c>
      <c r="I1656" s="4">
        <v>0</v>
      </c>
    </row>
    <row r="1657" spans="1:9" x14ac:dyDescent="0.2">
      <c r="A1657" s="2">
        <v>14</v>
      </c>
      <c r="B1657" s="1" t="s">
        <v>110</v>
      </c>
      <c r="C1657" s="4">
        <v>12</v>
      </c>
      <c r="D1657" s="8">
        <v>1.82</v>
      </c>
      <c r="E1657" s="4">
        <v>8</v>
      </c>
      <c r="F1657" s="8">
        <v>1.9</v>
      </c>
      <c r="G1657" s="4">
        <v>4</v>
      </c>
      <c r="H1657" s="8">
        <v>1.67</v>
      </c>
      <c r="I1657" s="4">
        <v>0</v>
      </c>
    </row>
    <row r="1658" spans="1:9" x14ac:dyDescent="0.2">
      <c r="A1658" s="2">
        <v>15</v>
      </c>
      <c r="B1658" s="1" t="s">
        <v>101</v>
      </c>
      <c r="C1658" s="4">
        <v>8</v>
      </c>
      <c r="D1658" s="8">
        <v>1.21</v>
      </c>
      <c r="E1658" s="4">
        <v>2</v>
      </c>
      <c r="F1658" s="8">
        <v>0.48</v>
      </c>
      <c r="G1658" s="4">
        <v>6</v>
      </c>
      <c r="H1658" s="8">
        <v>2.5</v>
      </c>
      <c r="I1658" s="4">
        <v>0</v>
      </c>
    </row>
    <row r="1659" spans="1:9" x14ac:dyDescent="0.2">
      <c r="A1659" s="2">
        <v>15</v>
      </c>
      <c r="B1659" s="1" t="s">
        <v>122</v>
      </c>
      <c r="C1659" s="4">
        <v>8</v>
      </c>
      <c r="D1659" s="8">
        <v>1.21</v>
      </c>
      <c r="E1659" s="4">
        <v>3</v>
      </c>
      <c r="F1659" s="8">
        <v>0.71</v>
      </c>
      <c r="G1659" s="4">
        <v>5</v>
      </c>
      <c r="H1659" s="8">
        <v>2.08</v>
      </c>
      <c r="I1659" s="4">
        <v>0</v>
      </c>
    </row>
    <row r="1660" spans="1:9" x14ac:dyDescent="0.2">
      <c r="A1660" s="2">
        <v>15</v>
      </c>
      <c r="B1660" s="1" t="s">
        <v>107</v>
      </c>
      <c r="C1660" s="4">
        <v>8</v>
      </c>
      <c r="D1660" s="8">
        <v>1.21</v>
      </c>
      <c r="E1660" s="4">
        <v>1</v>
      </c>
      <c r="F1660" s="8">
        <v>0.24</v>
      </c>
      <c r="G1660" s="4">
        <v>7</v>
      </c>
      <c r="H1660" s="8">
        <v>2.92</v>
      </c>
      <c r="I1660" s="4">
        <v>0</v>
      </c>
    </row>
    <row r="1661" spans="1:9" x14ac:dyDescent="0.2">
      <c r="A1661" s="2">
        <v>15</v>
      </c>
      <c r="B1661" s="1" t="s">
        <v>116</v>
      </c>
      <c r="C1661" s="4">
        <v>8</v>
      </c>
      <c r="D1661" s="8">
        <v>1.21</v>
      </c>
      <c r="E1661" s="4">
        <v>7</v>
      </c>
      <c r="F1661" s="8">
        <v>1.67</v>
      </c>
      <c r="G1661" s="4">
        <v>1</v>
      </c>
      <c r="H1661" s="8">
        <v>0.42</v>
      </c>
      <c r="I1661" s="4">
        <v>0</v>
      </c>
    </row>
    <row r="1662" spans="1:9" x14ac:dyDescent="0.2">
      <c r="A1662" s="2">
        <v>19</v>
      </c>
      <c r="B1662" s="1" t="s">
        <v>130</v>
      </c>
      <c r="C1662" s="4">
        <v>7</v>
      </c>
      <c r="D1662" s="8">
        <v>1.06</v>
      </c>
      <c r="E1662" s="4">
        <v>4</v>
      </c>
      <c r="F1662" s="8">
        <v>0.95</v>
      </c>
      <c r="G1662" s="4">
        <v>3</v>
      </c>
      <c r="H1662" s="8">
        <v>1.25</v>
      </c>
      <c r="I1662" s="4">
        <v>0</v>
      </c>
    </row>
    <row r="1663" spans="1:9" x14ac:dyDescent="0.2">
      <c r="A1663" s="2">
        <v>19</v>
      </c>
      <c r="B1663" s="1" t="s">
        <v>126</v>
      </c>
      <c r="C1663" s="4">
        <v>7</v>
      </c>
      <c r="D1663" s="8">
        <v>1.06</v>
      </c>
      <c r="E1663" s="4">
        <v>2</v>
      </c>
      <c r="F1663" s="8">
        <v>0.48</v>
      </c>
      <c r="G1663" s="4">
        <v>5</v>
      </c>
      <c r="H1663" s="8">
        <v>2.08</v>
      </c>
      <c r="I1663" s="4">
        <v>0</v>
      </c>
    </row>
    <row r="1664" spans="1:9" x14ac:dyDescent="0.2">
      <c r="A1664" s="1"/>
      <c r="C1664" s="4"/>
      <c r="D1664" s="8"/>
      <c r="E1664" s="4"/>
      <c r="F1664" s="8"/>
      <c r="G1664" s="4"/>
      <c r="H1664" s="8"/>
      <c r="I1664" s="4"/>
    </row>
    <row r="1665" spans="1:9" x14ac:dyDescent="0.2">
      <c r="A1665" s="1" t="s">
        <v>72</v>
      </c>
      <c r="C1665" s="4"/>
      <c r="D1665" s="8"/>
      <c r="E1665" s="4"/>
      <c r="F1665" s="8"/>
      <c r="G1665" s="4"/>
      <c r="H1665" s="8"/>
      <c r="I1665" s="4"/>
    </row>
    <row r="1666" spans="1:9" x14ac:dyDescent="0.2">
      <c r="A1666" s="2">
        <v>1</v>
      </c>
      <c r="B1666" s="1" t="s">
        <v>112</v>
      </c>
      <c r="C1666" s="4">
        <v>89</v>
      </c>
      <c r="D1666" s="8">
        <v>10.14</v>
      </c>
      <c r="E1666" s="4">
        <v>80</v>
      </c>
      <c r="F1666" s="8">
        <v>17.579999999999998</v>
      </c>
      <c r="G1666" s="4">
        <v>9</v>
      </c>
      <c r="H1666" s="8">
        <v>2.17</v>
      </c>
      <c r="I1666" s="4">
        <v>0</v>
      </c>
    </row>
    <row r="1667" spans="1:9" x14ac:dyDescent="0.2">
      <c r="A1667" s="2">
        <v>2</v>
      </c>
      <c r="B1667" s="1" t="s">
        <v>97</v>
      </c>
      <c r="C1667" s="4">
        <v>64</v>
      </c>
      <c r="D1667" s="8">
        <v>7.29</v>
      </c>
      <c r="E1667" s="4">
        <v>24</v>
      </c>
      <c r="F1667" s="8">
        <v>5.27</v>
      </c>
      <c r="G1667" s="4">
        <v>40</v>
      </c>
      <c r="H1667" s="8">
        <v>9.66</v>
      </c>
      <c r="I1667" s="4">
        <v>0</v>
      </c>
    </row>
    <row r="1668" spans="1:9" x14ac:dyDescent="0.2">
      <c r="A1668" s="2">
        <v>3</v>
      </c>
      <c r="B1668" s="1" t="s">
        <v>111</v>
      </c>
      <c r="C1668" s="4">
        <v>58</v>
      </c>
      <c r="D1668" s="8">
        <v>6.61</v>
      </c>
      <c r="E1668" s="4">
        <v>47</v>
      </c>
      <c r="F1668" s="8">
        <v>10.33</v>
      </c>
      <c r="G1668" s="4">
        <v>11</v>
      </c>
      <c r="H1668" s="8">
        <v>2.66</v>
      </c>
      <c r="I1668" s="4">
        <v>0</v>
      </c>
    </row>
    <row r="1669" spans="1:9" x14ac:dyDescent="0.2">
      <c r="A1669" s="2">
        <v>4</v>
      </c>
      <c r="B1669" s="1" t="s">
        <v>98</v>
      </c>
      <c r="C1669" s="4">
        <v>54</v>
      </c>
      <c r="D1669" s="8">
        <v>6.15</v>
      </c>
      <c r="E1669" s="4">
        <v>25</v>
      </c>
      <c r="F1669" s="8">
        <v>5.49</v>
      </c>
      <c r="G1669" s="4">
        <v>29</v>
      </c>
      <c r="H1669" s="8">
        <v>7</v>
      </c>
      <c r="I1669" s="4">
        <v>0</v>
      </c>
    </row>
    <row r="1670" spans="1:9" x14ac:dyDescent="0.2">
      <c r="A1670" s="2">
        <v>5</v>
      </c>
      <c r="B1670" s="1" t="s">
        <v>106</v>
      </c>
      <c r="C1670" s="4">
        <v>48</v>
      </c>
      <c r="D1670" s="8">
        <v>5.47</v>
      </c>
      <c r="E1670" s="4">
        <v>28</v>
      </c>
      <c r="F1670" s="8">
        <v>6.15</v>
      </c>
      <c r="G1670" s="4">
        <v>20</v>
      </c>
      <c r="H1670" s="8">
        <v>4.83</v>
      </c>
      <c r="I1670" s="4">
        <v>0</v>
      </c>
    </row>
    <row r="1671" spans="1:9" x14ac:dyDescent="0.2">
      <c r="A1671" s="2">
        <v>6</v>
      </c>
      <c r="B1671" s="1" t="s">
        <v>99</v>
      </c>
      <c r="C1671" s="4">
        <v>45</v>
      </c>
      <c r="D1671" s="8">
        <v>5.13</v>
      </c>
      <c r="E1671" s="4">
        <v>11</v>
      </c>
      <c r="F1671" s="8">
        <v>2.42</v>
      </c>
      <c r="G1671" s="4">
        <v>34</v>
      </c>
      <c r="H1671" s="8">
        <v>8.2100000000000009</v>
      </c>
      <c r="I1671" s="4">
        <v>0</v>
      </c>
    </row>
    <row r="1672" spans="1:9" x14ac:dyDescent="0.2">
      <c r="A1672" s="2">
        <v>7</v>
      </c>
      <c r="B1672" s="1" t="s">
        <v>108</v>
      </c>
      <c r="C1672" s="4">
        <v>44</v>
      </c>
      <c r="D1672" s="8">
        <v>5.01</v>
      </c>
      <c r="E1672" s="4">
        <v>15</v>
      </c>
      <c r="F1672" s="8">
        <v>3.3</v>
      </c>
      <c r="G1672" s="4">
        <v>28</v>
      </c>
      <c r="H1672" s="8">
        <v>6.76</v>
      </c>
      <c r="I1672" s="4">
        <v>1</v>
      </c>
    </row>
    <row r="1673" spans="1:9" x14ac:dyDescent="0.2">
      <c r="A1673" s="2">
        <v>8</v>
      </c>
      <c r="B1673" s="1" t="s">
        <v>104</v>
      </c>
      <c r="C1673" s="4">
        <v>43</v>
      </c>
      <c r="D1673" s="8">
        <v>4.9000000000000004</v>
      </c>
      <c r="E1673" s="4">
        <v>36</v>
      </c>
      <c r="F1673" s="8">
        <v>7.91</v>
      </c>
      <c r="G1673" s="4">
        <v>7</v>
      </c>
      <c r="H1673" s="8">
        <v>1.69</v>
      </c>
      <c r="I1673" s="4">
        <v>0</v>
      </c>
    </row>
    <row r="1674" spans="1:9" x14ac:dyDescent="0.2">
      <c r="A1674" s="2">
        <v>9</v>
      </c>
      <c r="B1674" s="1" t="s">
        <v>105</v>
      </c>
      <c r="C1674" s="4">
        <v>40</v>
      </c>
      <c r="D1674" s="8">
        <v>4.5599999999999996</v>
      </c>
      <c r="E1674" s="4">
        <v>22</v>
      </c>
      <c r="F1674" s="8">
        <v>4.84</v>
      </c>
      <c r="G1674" s="4">
        <v>18</v>
      </c>
      <c r="H1674" s="8">
        <v>4.3499999999999996</v>
      </c>
      <c r="I1674" s="4">
        <v>0</v>
      </c>
    </row>
    <row r="1675" spans="1:9" x14ac:dyDescent="0.2">
      <c r="A1675" s="2">
        <v>10</v>
      </c>
      <c r="B1675" s="1" t="s">
        <v>114</v>
      </c>
      <c r="C1675" s="4">
        <v>32</v>
      </c>
      <c r="D1675" s="8">
        <v>3.64</v>
      </c>
      <c r="E1675" s="4">
        <v>25</v>
      </c>
      <c r="F1675" s="8">
        <v>5.49</v>
      </c>
      <c r="G1675" s="4">
        <v>5</v>
      </c>
      <c r="H1675" s="8">
        <v>1.21</v>
      </c>
      <c r="I1675" s="4">
        <v>0</v>
      </c>
    </row>
    <row r="1676" spans="1:9" x14ac:dyDescent="0.2">
      <c r="A1676" s="2">
        <v>11</v>
      </c>
      <c r="B1676" s="1" t="s">
        <v>115</v>
      </c>
      <c r="C1676" s="4">
        <v>28</v>
      </c>
      <c r="D1676" s="8">
        <v>3.19</v>
      </c>
      <c r="E1676" s="4">
        <v>26</v>
      </c>
      <c r="F1676" s="8">
        <v>5.71</v>
      </c>
      <c r="G1676" s="4">
        <v>2</v>
      </c>
      <c r="H1676" s="8">
        <v>0.48</v>
      </c>
      <c r="I1676" s="4">
        <v>0</v>
      </c>
    </row>
    <row r="1677" spans="1:9" x14ac:dyDescent="0.2">
      <c r="A1677" s="2">
        <v>12</v>
      </c>
      <c r="B1677" s="1" t="s">
        <v>100</v>
      </c>
      <c r="C1677" s="4">
        <v>22</v>
      </c>
      <c r="D1677" s="8">
        <v>2.5099999999999998</v>
      </c>
      <c r="E1677" s="4">
        <v>7</v>
      </c>
      <c r="F1677" s="8">
        <v>1.54</v>
      </c>
      <c r="G1677" s="4">
        <v>15</v>
      </c>
      <c r="H1677" s="8">
        <v>3.62</v>
      </c>
      <c r="I1677" s="4">
        <v>0</v>
      </c>
    </row>
    <row r="1678" spans="1:9" x14ac:dyDescent="0.2">
      <c r="A1678" s="2">
        <v>13</v>
      </c>
      <c r="B1678" s="1" t="s">
        <v>110</v>
      </c>
      <c r="C1678" s="4">
        <v>20</v>
      </c>
      <c r="D1678" s="8">
        <v>2.2799999999999998</v>
      </c>
      <c r="E1678" s="4">
        <v>7</v>
      </c>
      <c r="F1678" s="8">
        <v>1.54</v>
      </c>
      <c r="G1678" s="4">
        <v>12</v>
      </c>
      <c r="H1678" s="8">
        <v>2.9</v>
      </c>
      <c r="I1678" s="4">
        <v>0</v>
      </c>
    </row>
    <row r="1679" spans="1:9" x14ac:dyDescent="0.2">
      <c r="A1679" s="2">
        <v>14</v>
      </c>
      <c r="B1679" s="1" t="s">
        <v>103</v>
      </c>
      <c r="C1679" s="4">
        <v>17</v>
      </c>
      <c r="D1679" s="8">
        <v>1.94</v>
      </c>
      <c r="E1679" s="4">
        <v>12</v>
      </c>
      <c r="F1679" s="8">
        <v>2.64</v>
      </c>
      <c r="G1679" s="4">
        <v>5</v>
      </c>
      <c r="H1679" s="8">
        <v>1.21</v>
      </c>
      <c r="I1679" s="4">
        <v>0</v>
      </c>
    </row>
    <row r="1680" spans="1:9" x14ac:dyDescent="0.2">
      <c r="A1680" s="2">
        <v>14</v>
      </c>
      <c r="B1680" s="1" t="s">
        <v>107</v>
      </c>
      <c r="C1680" s="4">
        <v>17</v>
      </c>
      <c r="D1680" s="8">
        <v>1.94</v>
      </c>
      <c r="E1680" s="4">
        <v>3</v>
      </c>
      <c r="F1680" s="8">
        <v>0.66</v>
      </c>
      <c r="G1680" s="4">
        <v>14</v>
      </c>
      <c r="H1680" s="8">
        <v>3.38</v>
      </c>
      <c r="I1680" s="4">
        <v>0</v>
      </c>
    </row>
    <row r="1681" spans="1:9" x14ac:dyDescent="0.2">
      <c r="A1681" s="2">
        <v>16</v>
      </c>
      <c r="B1681" s="1" t="s">
        <v>113</v>
      </c>
      <c r="C1681" s="4">
        <v>16</v>
      </c>
      <c r="D1681" s="8">
        <v>1.82</v>
      </c>
      <c r="E1681" s="4">
        <v>8</v>
      </c>
      <c r="F1681" s="8">
        <v>1.76</v>
      </c>
      <c r="G1681" s="4">
        <v>8</v>
      </c>
      <c r="H1681" s="8">
        <v>1.93</v>
      </c>
      <c r="I1681" s="4">
        <v>0</v>
      </c>
    </row>
    <row r="1682" spans="1:9" x14ac:dyDescent="0.2">
      <c r="A1682" s="2">
        <v>17</v>
      </c>
      <c r="B1682" s="1" t="s">
        <v>119</v>
      </c>
      <c r="C1682" s="4">
        <v>14</v>
      </c>
      <c r="D1682" s="8">
        <v>1.59</v>
      </c>
      <c r="E1682" s="4">
        <v>1</v>
      </c>
      <c r="F1682" s="8">
        <v>0.22</v>
      </c>
      <c r="G1682" s="4">
        <v>13</v>
      </c>
      <c r="H1682" s="8">
        <v>3.14</v>
      </c>
      <c r="I1682" s="4">
        <v>0</v>
      </c>
    </row>
    <row r="1683" spans="1:9" x14ac:dyDescent="0.2">
      <c r="A1683" s="2">
        <v>18</v>
      </c>
      <c r="B1683" s="1" t="s">
        <v>121</v>
      </c>
      <c r="C1683" s="4">
        <v>13</v>
      </c>
      <c r="D1683" s="8">
        <v>1.48</v>
      </c>
      <c r="E1683" s="4">
        <v>1</v>
      </c>
      <c r="F1683" s="8">
        <v>0.22</v>
      </c>
      <c r="G1683" s="4">
        <v>12</v>
      </c>
      <c r="H1683" s="8">
        <v>2.9</v>
      </c>
      <c r="I1683" s="4">
        <v>0</v>
      </c>
    </row>
    <row r="1684" spans="1:9" x14ac:dyDescent="0.2">
      <c r="A1684" s="2">
        <v>18</v>
      </c>
      <c r="B1684" s="1" t="s">
        <v>116</v>
      </c>
      <c r="C1684" s="4">
        <v>13</v>
      </c>
      <c r="D1684" s="8">
        <v>1.48</v>
      </c>
      <c r="E1684" s="4">
        <v>10</v>
      </c>
      <c r="F1684" s="8">
        <v>2.2000000000000002</v>
      </c>
      <c r="G1684" s="4">
        <v>3</v>
      </c>
      <c r="H1684" s="8">
        <v>0.72</v>
      </c>
      <c r="I1684" s="4">
        <v>0</v>
      </c>
    </row>
    <row r="1685" spans="1:9" x14ac:dyDescent="0.2">
      <c r="A1685" s="2">
        <v>20</v>
      </c>
      <c r="B1685" s="1" t="s">
        <v>101</v>
      </c>
      <c r="C1685" s="4">
        <v>12</v>
      </c>
      <c r="D1685" s="8">
        <v>1.37</v>
      </c>
      <c r="E1685" s="4">
        <v>3</v>
      </c>
      <c r="F1685" s="8">
        <v>0.66</v>
      </c>
      <c r="G1685" s="4">
        <v>9</v>
      </c>
      <c r="H1685" s="8">
        <v>2.17</v>
      </c>
      <c r="I1685" s="4">
        <v>0</v>
      </c>
    </row>
    <row r="1686" spans="1:9" x14ac:dyDescent="0.2">
      <c r="A1686" s="1"/>
      <c r="C1686" s="4"/>
      <c r="D1686" s="8"/>
      <c r="E1686" s="4"/>
      <c r="F1686" s="8"/>
      <c r="G1686" s="4"/>
      <c r="H1686" s="8"/>
      <c r="I1686" s="4"/>
    </row>
    <row r="1687" spans="1:9" x14ac:dyDescent="0.2">
      <c r="A1687" s="1" t="s">
        <v>73</v>
      </c>
      <c r="C1687" s="4"/>
      <c r="D1687" s="8"/>
      <c r="E1687" s="4"/>
      <c r="F1687" s="8"/>
      <c r="G1687" s="4"/>
      <c r="H1687" s="8"/>
      <c r="I1687" s="4"/>
    </row>
    <row r="1688" spans="1:9" x14ac:dyDescent="0.2">
      <c r="A1688" s="2">
        <v>1</v>
      </c>
      <c r="B1688" s="1" t="s">
        <v>108</v>
      </c>
      <c r="C1688" s="4">
        <v>66</v>
      </c>
      <c r="D1688" s="8">
        <v>10.65</v>
      </c>
      <c r="E1688" s="4">
        <v>51</v>
      </c>
      <c r="F1688" s="8">
        <v>16.829999999999998</v>
      </c>
      <c r="G1688" s="4">
        <v>15</v>
      </c>
      <c r="H1688" s="8">
        <v>4.78</v>
      </c>
      <c r="I1688" s="4">
        <v>0</v>
      </c>
    </row>
    <row r="1689" spans="1:9" x14ac:dyDescent="0.2">
      <c r="A1689" s="2">
        <v>2</v>
      </c>
      <c r="B1689" s="1" t="s">
        <v>98</v>
      </c>
      <c r="C1689" s="4">
        <v>63</v>
      </c>
      <c r="D1689" s="8">
        <v>10.16</v>
      </c>
      <c r="E1689" s="4">
        <v>29</v>
      </c>
      <c r="F1689" s="8">
        <v>9.57</v>
      </c>
      <c r="G1689" s="4">
        <v>34</v>
      </c>
      <c r="H1689" s="8">
        <v>10.83</v>
      </c>
      <c r="I1689" s="4">
        <v>0</v>
      </c>
    </row>
    <row r="1690" spans="1:9" x14ac:dyDescent="0.2">
      <c r="A1690" s="2">
        <v>3</v>
      </c>
      <c r="B1690" s="1" t="s">
        <v>112</v>
      </c>
      <c r="C1690" s="4">
        <v>44</v>
      </c>
      <c r="D1690" s="8">
        <v>7.1</v>
      </c>
      <c r="E1690" s="4">
        <v>37</v>
      </c>
      <c r="F1690" s="8">
        <v>12.21</v>
      </c>
      <c r="G1690" s="4">
        <v>7</v>
      </c>
      <c r="H1690" s="8">
        <v>2.23</v>
      </c>
      <c r="I1690" s="4">
        <v>0</v>
      </c>
    </row>
    <row r="1691" spans="1:9" x14ac:dyDescent="0.2">
      <c r="A1691" s="2">
        <v>4</v>
      </c>
      <c r="B1691" s="1" t="s">
        <v>99</v>
      </c>
      <c r="C1691" s="4">
        <v>41</v>
      </c>
      <c r="D1691" s="8">
        <v>6.61</v>
      </c>
      <c r="E1691" s="4">
        <v>9</v>
      </c>
      <c r="F1691" s="8">
        <v>2.97</v>
      </c>
      <c r="G1691" s="4">
        <v>32</v>
      </c>
      <c r="H1691" s="8">
        <v>10.19</v>
      </c>
      <c r="I1691" s="4">
        <v>0</v>
      </c>
    </row>
    <row r="1692" spans="1:9" x14ac:dyDescent="0.2">
      <c r="A1692" s="2">
        <v>5</v>
      </c>
      <c r="B1692" s="1" t="s">
        <v>97</v>
      </c>
      <c r="C1692" s="4">
        <v>39</v>
      </c>
      <c r="D1692" s="8">
        <v>6.29</v>
      </c>
      <c r="E1692" s="4">
        <v>13</v>
      </c>
      <c r="F1692" s="8">
        <v>4.29</v>
      </c>
      <c r="G1692" s="4">
        <v>26</v>
      </c>
      <c r="H1692" s="8">
        <v>8.2799999999999994</v>
      </c>
      <c r="I1692" s="4">
        <v>0</v>
      </c>
    </row>
    <row r="1693" spans="1:9" x14ac:dyDescent="0.2">
      <c r="A1693" s="2">
        <v>6</v>
      </c>
      <c r="B1693" s="1" t="s">
        <v>111</v>
      </c>
      <c r="C1693" s="4">
        <v>36</v>
      </c>
      <c r="D1693" s="8">
        <v>5.81</v>
      </c>
      <c r="E1693" s="4">
        <v>27</v>
      </c>
      <c r="F1693" s="8">
        <v>8.91</v>
      </c>
      <c r="G1693" s="4">
        <v>9</v>
      </c>
      <c r="H1693" s="8">
        <v>2.87</v>
      </c>
      <c r="I1693" s="4">
        <v>0</v>
      </c>
    </row>
    <row r="1694" spans="1:9" x14ac:dyDescent="0.2">
      <c r="A1694" s="2">
        <v>7</v>
      </c>
      <c r="B1694" s="1" t="s">
        <v>100</v>
      </c>
      <c r="C1694" s="4">
        <v>30</v>
      </c>
      <c r="D1694" s="8">
        <v>4.84</v>
      </c>
      <c r="E1694" s="4">
        <v>7</v>
      </c>
      <c r="F1694" s="8">
        <v>2.31</v>
      </c>
      <c r="G1694" s="4">
        <v>23</v>
      </c>
      <c r="H1694" s="8">
        <v>7.32</v>
      </c>
      <c r="I1694" s="4">
        <v>0</v>
      </c>
    </row>
    <row r="1695" spans="1:9" x14ac:dyDescent="0.2">
      <c r="A1695" s="2">
        <v>8</v>
      </c>
      <c r="B1695" s="1" t="s">
        <v>105</v>
      </c>
      <c r="C1695" s="4">
        <v>23</v>
      </c>
      <c r="D1695" s="8">
        <v>3.71</v>
      </c>
      <c r="E1695" s="4">
        <v>8</v>
      </c>
      <c r="F1695" s="8">
        <v>2.64</v>
      </c>
      <c r="G1695" s="4">
        <v>15</v>
      </c>
      <c r="H1695" s="8">
        <v>4.78</v>
      </c>
      <c r="I1695" s="4">
        <v>0</v>
      </c>
    </row>
    <row r="1696" spans="1:9" x14ac:dyDescent="0.2">
      <c r="A1696" s="2">
        <v>9</v>
      </c>
      <c r="B1696" s="1" t="s">
        <v>106</v>
      </c>
      <c r="C1696" s="4">
        <v>19</v>
      </c>
      <c r="D1696" s="8">
        <v>3.06</v>
      </c>
      <c r="E1696" s="4">
        <v>8</v>
      </c>
      <c r="F1696" s="8">
        <v>2.64</v>
      </c>
      <c r="G1696" s="4">
        <v>11</v>
      </c>
      <c r="H1696" s="8">
        <v>3.5</v>
      </c>
      <c r="I1696" s="4">
        <v>0</v>
      </c>
    </row>
    <row r="1697" spans="1:9" x14ac:dyDescent="0.2">
      <c r="A1697" s="2">
        <v>10</v>
      </c>
      <c r="B1697" s="1" t="s">
        <v>116</v>
      </c>
      <c r="C1697" s="4">
        <v>18</v>
      </c>
      <c r="D1697" s="8">
        <v>2.9</v>
      </c>
      <c r="E1697" s="4">
        <v>15</v>
      </c>
      <c r="F1697" s="8">
        <v>4.95</v>
      </c>
      <c r="G1697" s="4">
        <v>3</v>
      </c>
      <c r="H1697" s="8">
        <v>0.96</v>
      </c>
      <c r="I1697" s="4">
        <v>0</v>
      </c>
    </row>
    <row r="1698" spans="1:9" x14ac:dyDescent="0.2">
      <c r="A1698" s="2">
        <v>11</v>
      </c>
      <c r="B1698" s="1" t="s">
        <v>130</v>
      </c>
      <c r="C1698" s="4">
        <v>16</v>
      </c>
      <c r="D1698" s="8">
        <v>2.58</v>
      </c>
      <c r="E1698" s="4">
        <v>9</v>
      </c>
      <c r="F1698" s="8">
        <v>2.97</v>
      </c>
      <c r="G1698" s="4">
        <v>7</v>
      </c>
      <c r="H1698" s="8">
        <v>2.23</v>
      </c>
      <c r="I1698" s="4">
        <v>0</v>
      </c>
    </row>
    <row r="1699" spans="1:9" x14ac:dyDescent="0.2">
      <c r="A1699" s="2">
        <v>12</v>
      </c>
      <c r="B1699" s="1" t="s">
        <v>102</v>
      </c>
      <c r="C1699" s="4">
        <v>14</v>
      </c>
      <c r="D1699" s="8">
        <v>2.2599999999999998</v>
      </c>
      <c r="E1699" s="4">
        <v>5</v>
      </c>
      <c r="F1699" s="8">
        <v>1.65</v>
      </c>
      <c r="G1699" s="4">
        <v>9</v>
      </c>
      <c r="H1699" s="8">
        <v>2.87</v>
      </c>
      <c r="I1699" s="4">
        <v>0</v>
      </c>
    </row>
    <row r="1700" spans="1:9" x14ac:dyDescent="0.2">
      <c r="A1700" s="2">
        <v>12</v>
      </c>
      <c r="B1700" s="1" t="s">
        <v>114</v>
      </c>
      <c r="C1700" s="4">
        <v>14</v>
      </c>
      <c r="D1700" s="8">
        <v>2.2599999999999998</v>
      </c>
      <c r="E1700" s="4">
        <v>11</v>
      </c>
      <c r="F1700" s="8">
        <v>3.63</v>
      </c>
      <c r="G1700" s="4">
        <v>2</v>
      </c>
      <c r="H1700" s="8">
        <v>0.64</v>
      </c>
      <c r="I1700" s="4">
        <v>0</v>
      </c>
    </row>
    <row r="1701" spans="1:9" x14ac:dyDescent="0.2">
      <c r="A1701" s="2">
        <v>14</v>
      </c>
      <c r="B1701" s="1" t="s">
        <v>104</v>
      </c>
      <c r="C1701" s="4">
        <v>13</v>
      </c>
      <c r="D1701" s="8">
        <v>2.1</v>
      </c>
      <c r="E1701" s="4">
        <v>10</v>
      </c>
      <c r="F1701" s="8">
        <v>3.3</v>
      </c>
      <c r="G1701" s="4">
        <v>3</v>
      </c>
      <c r="H1701" s="8">
        <v>0.96</v>
      </c>
      <c r="I1701" s="4">
        <v>0</v>
      </c>
    </row>
    <row r="1702" spans="1:9" x14ac:dyDescent="0.2">
      <c r="A1702" s="2">
        <v>15</v>
      </c>
      <c r="B1702" s="1" t="s">
        <v>128</v>
      </c>
      <c r="C1702" s="4">
        <v>11</v>
      </c>
      <c r="D1702" s="8">
        <v>1.77</v>
      </c>
      <c r="E1702" s="4">
        <v>2</v>
      </c>
      <c r="F1702" s="8">
        <v>0.66</v>
      </c>
      <c r="G1702" s="4">
        <v>9</v>
      </c>
      <c r="H1702" s="8">
        <v>2.87</v>
      </c>
      <c r="I1702" s="4">
        <v>0</v>
      </c>
    </row>
    <row r="1703" spans="1:9" x14ac:dyDescent="0.2">
      <c r="A1703" s="2">
        <v>15</v>
      </c>
      <c r="B1703" s="1" t="s">
        <v>101</v>
      </c>
      <c r="C1703" s="4">
        <v>11</v>
      </c>
      <c r="D1703" s="8">
        <v>1.77</v>
      </c>
      <c r="E1703" s="4">
        <v>3</v>
      </c>
      <c r="F1703" s="8">
        <v>0.99</v>
      </c>
      <c r="G1703" s="4">
        <v>8</v>
      </c>
      <c r="H1703" s="8">
        <v>2.5499999999999998</v>
      </c>
      <c r="I1703" s="4">
        <v>0</v>
      </c>
    </row>
    <row r="1704" spans="1:9" x14ac:dyDescent="0.2">
      <c r="A1704" s="2">
        <v>17</v>
      </c>
      <c r="B1704" s="1" t="s">
        <v>120</v>
      </c>
      <c r="C1704" s="4">
        <v>10</v>
      </c>
      <c r="D1704" s="8">
        <v>1.61</v>
      </c>
      <c r="E1704" s="4">
        <v>1</v>
      </c>
      <c r="F1704" s="8">
        <v>0.33</v>
      </c>
      <c r="G1704" s="4">
        <v>9</v>
      </c>
      <c r="H1704" s="8">
        <v>2.87</v>
      </c>
      <c r="I1704" s="4">
        <v>0</v>
      </c>
    </row>
    <row r="1705" spans="1:9" x14ac:dyDescent="0.2">
      <c r="A1705" s="2">
        <v>17</v>
      </c>
      <c r="B1705" s="1" t="s">
        <v>115</v>
      </c>
      <c r="C1705" s="4">
        <v>10</v>
      </c>
      <c r="D1705" s="8">
        <v>1.61</v>
      </c>
      <c r="E1705" s="4">
        <v>9</v>
      </c>
      <c r="F1705" s="8">
        <v>2.97</v>
      </c>
      <c r="G1705" s="4">
        <v>1</v>
      </c>
      <c r="H1705" s="8">
        <v>0.32</v>
      </c>
      <c r="I1705" s="4">
        <v>0</v>
      </c>
    </row>
    <row r="1706" spans="1:9" x14ac:dyDescent="0.2">
      <c r="A1706" s="2">
        <v>19</v>
      </c>
      <c r="B1706" s="1" t="s">
        <v>141</v>
      </c>
      <c r="C1706" s="4">
        <v>8</v>
      </c>
      <c r="D1706" s="8">
        <v>1.29</v>
      </c>
      <c r="E1706" s="4">
        <v>1</v>
      </c>
      <c r="F1706" s="8">
        <v>0.33</v>
      </c>
      <c r="G1706" s="4">
        <v>7</v>
      </c>
      <c r="H1706" s="8">
        <v>2.23</v>
      </c>
      <c r="I1706" s="4">
        <v>0</v>
      </c>
    </row>
    <row r="1707" spans="1:9" x14ac:dyDescent="0.2">
      <c r="A1707" s="2">
        <v>19</v>
      </c>
      <c r="B1707" s="1" t="s">
        <v>113</v>
      </c>
      <c r="C1707" s="4">
        <v>8</v>
      </c>
      <c r="D1707" s="8">
        <v>1.29</v>
      </c>
      <c r="E1707" s="4">
        <v>5</v>
      </c>
      <c r="F1707" s="8">
        <v>1.65</v>
      </c>
      <c r="G1707" s="4">
        <v>3</v>
      </c>
      <c r="H1707" s="8">
        <v>0.96</v>
      </c>
      <c r="I1707" s="4">
        <v>0</v>
      </c>
    </row>
    <row r="1708" spans="1:9" x14ac:dyDescent="0.2">
      <c r="A1708" s="1"/>
      <c r="C1708" s="4"/>
      <c r="D1708" s="8"/>
      <c r="E1708" s="4"/>
      <c r="F1708" s="8"/>
      <c r="G1708" s="4"/>
      <c r="H1708" s="8"/>
      <c r="I1708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2272F-1DCF-4BD6-B8F1-11DFD295B51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297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287</v>
      </c>
      <c r="D6" s="8">
        <v>14.65</v>
      </c>
      <c r="E6" s="12">
        <v>89</v>
      </c>
      <c r="F6" s="8">
        <v>9.1300000000000008</v>
      </c>
      <c r="G6" s="12">
        <v>198</v>
      </c>
      <c r="H6" s="8">
        <v>20.37</v>
      </c>
      <c r="I6" s="12">
        <v>0</v>
      </c>
    </row>
    <row r="7" spans="2:9" ht="15" customHeight="1" x14ac:dyDescent="0.2">
      <c r="B7" t="s">
        <v>76</v>
      </c>
      <c r="C7" s="12">
        <v>169</v>
      </c>
      <c r="D7" s="8">
        <v>8.6300000000000008</v>
      </c>
      <c r="E7" s="12">
        <v>47</v>
      </c>
      <c r="F7" s="8">
        <v>4.82</v>
      </c>
      <c r="G7" s="12">
        <v>122</v>
      </c>
      <c r="H7" s="8">
        <v>12.55</v>
      </c>
      <c r="I7" s="12">
        <v>0</v>
      </c>
    </row>
    <row r="8" spans="2:9" ht="15" customHeight="1" x14ac:dyDescent="0.2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78</v>
      </c>
      <c r="C9" s="12">
        <v>20</v>
      </c>
      <c r="D9" s="8">
        <v>1.02</v>
      </c>
      <c r="E9" s="12">
        <v>3</v>
      </c>
      <c r="F9" s="8">
        <v>0.31</v>
      </c>
      <c r="G9" s="12">
        <v>17</v>
      </c>
      <c r="H9" s="8">
        <v>1.75</v>
      </c>
      <c r="I9" s="12">
        <v>0</v>
      </c>
    </row>
    <row r="10" spans="2:9" ht="15" customHeight="1" x14ac:dyDescent="0.2">
      <c r="B10" t="s">
        <v>79</v>
      </c>
      <c r="C10" s="12">
        <v>12</v>
      </c>
      <c r="D10" s="8">
        <v>0.61</v>
      </c>
      <c r="E10" s="12">
        <v>1</v>
      </c>
      <c r="F10" s="8">
        <v>0.1</v>
      </c>
      <c r="G10" s="12">
        <v>11</v>
      </c>
      <c r="H10" s="8">
        <v>1.1299999999999999</v>
      </c>
      <c r="I10" s="12">
        <v>0</v>
      </c>
    </row>
    <row r="11" spans="2:9" ht="15" customHeight="1" x14ac:dyDescent="0.2">
      <c r="B11" t="s">
        <v>80</v>
      </c>
      <c r="C11" s="12">
        <v>441</v>
      </c>
      <c r="D11" s="8">
        <v>22.51</v>
      </c>
      <c r="E11" s="12">
        <v>187</v>
      </c>
      <c r="F11" s="8">
        <v>19.18</v>
      </c>
      <c r="G11" s="12">
        <v>254</v>
      </c>
      <c r="H11" s="8">
        <v>26.13</v>
      </c>
      <c r="I11" s="12">
        <v>0</v>
      </c>
    </row>
    <row r="12" spans="2:9" ht="15" customHeight="1" x14ac:dyDescent="0.2">
      <c r="B12" t="s">
        <v>81</v>
      </c>
      <c r="C12" s="12">
        <v>13</v>
      </c>
      <c r="D12" s="8">
        <v>0.66</v>
      </c>
      <c r="E12" s="12">
        <v>6</v>
      </c>
      <c r="F12" s="8">
        <v>0.62</v>
      </c>
      <c r="G12" s="12">
        <v>7</v>
      </c>
      <c r="H12" s="8">
        <v>0.72</v>
      </c>
      <c r="I12" s="12">
        <v>0</v>
      </c>
    </row>
    <row r="13" spans="2:9" ht="15" customHeight="1" x14ac:dyDescent="0.2">
      <c r="B13" t="s">
        <v>82</v>
      </c>
      <c r="C13" s="12">
        <v>192</v>
      </c>
      <c r="D13" s="8">
        <v>9.8000000000000007</v>
      </c>
      <c r="E13" s="12">
        <v>96</v>
      </c>
      <c r="F13" s="8">
        <v>9.85</v>
      </c>
      <c r="G13" s="12">
        <v>95</v>
      </c>
      <c r="H13" s="8">
        <v>9.77</v>
      </c>
      <c r="I13" s="12">
        <v>0</v>
      </c>
    </row>
    <row r="14" spans="2:9" ht="15" customHeight="1" x14ac:dyDescent="0.2">
      <c r="B14" t="s">
        <v>83</v>
      </c>
      <c r="C14" s="12">
        <v>92</v>
      </c>
      <c r="D14" s="8">
        <v>4.7</v>
      </c>
      <c r="E14" s="12">
        <v>44</v>
      </c>
      <c r="F14" s="8">
        <v>4.51</v>
      </c>
      <c r="G14" s="12">
        <v>48</v>
      </c>
      <c r="H14" s="8">
        <v>4.9400000000000004</v>
      </c>
      <c r="I14" s="12">
        <v>0</v>
      </c>
    </row>
    <row r="15" spans="2:9" ht="15" customHeight="1" x14ac:dyDescent="0.2">
      <c r="B15" t="s">
        <v>84</v>
      </c>
      <c r="C15" s="12">
        <v>151</v>
      </c>
      <c r="D15" s="8">
        <v>7.71</v>
      </c>
      <c r="E15" s="12">
        <v>121</v>
      </c>
      <c r="F15" s="8">
        <v>12.41</v>
      </c>
      <c r="G15" s="12">
        <v>30</v>
      </c>
      <c r="H15" s="8">
        <v>3.09</v>
      </c>
      <c r="I15" s="12">
        <v>0</v>
      </c>
    </row>
    <row r="16" spans="2:9" ht="15" customHeight="1" x14ac:dyDescent="0.2">
      <c r="B16" t="s">
        <v>85</v>
      </c>
      <c r="C16" s="12">
        <v>301</v>
      </c>
      <c r="D16" s="8">
        <v>15.36</v>
      </c>
      <c r="E16" s="12">
        <v>233</v>
      </c>
      <c r="F16" s="8">
        <v>23.9</v>
      </c>
      <c r="G16" s="12">
        <v>68</v>
      </c>
      <c r="H16" s="8">
        <v>7</v>
      </c>
      <c r="I16" s="12">
        <v>0</v>
      </c>
    </row>
    <row r="17" spans="2:9" ht="15" customHeight="1" x14ac:dyDescent="0.2">
      <c r="B17" t="s">
        <v>86</v>
      </c>
      <c r="C17" s="12">
        <v>77</v>
      </c>
      <c r="D17" s="8">
        <v>3.93</v>
      </c>
      <c r="E17" s="12">
        <v>59</v>
      </c>
      <c r="F17" s="8">
        <v>6.05</v>
      </c>
      <c r="G17" s="12">
        <v>18</v>
      </c>
      <c r="H17" s="8">
        <v>1.85</v>
      </c>
      <c r="I17" s="12">
        <v>0</v>
      </c>
    </row>
    <row r="18" spans="2:9" ht="15" customHeight="1" x14ac:dyDescent="0.2">
      <c r="B18" t="s">
        <v>87</v>
      </c>
      <c r="C18" s="12">
        <v>125</v>
      </c>
      <c r="D18" s="8">
        <v>6.38</v>
      </c>
      <c r="E18" s="12">
        <v>62</v>
      </c>
      <c r="F18" s="8">
        <v>6.36</v>
      </c>
      <c r="G18" s="12">
        <v>54</v>
      </c>
      <c r="H18" s="8">
        <v>5.56</v>
      </c>
      <c r="I18" s="12">
        <v>0</v>
      </c>
    </row>
    <row r="19" spans="2:9" ht="15" customHeight="1" x14ac:dyDescent="0.2">
      <c r="B19" t="s">
        <v>88</v>
      </c>
      <c r="C19" s="12">
        <v>79</v>
      </c>
      <c r="D19" s="8">
        <v>4.03</v>
      </c>
      <c r="E19" s="12">
        <v>27</v>
      </c>
      <c r="F19" s="8">
        <v>2.77</v>
      </c>
      <c r="G19" s="12">
        <v>50</v>
      </c>
      <c r="H19" s="8">
        <v>5.14</v>
      </c>
      <c r="I19" s="12">
        <v>0</v>
      </c>
    </row>
    <row r="20" spans="2:9" ht="15" customHeight="1" x14ac:dyDescent="0.2">
      <c r="B20" s="9" t="s">
        <v>269</v>
      </c>
      <c r="C20" s="12">
        <f>SUM(LTBL_11217[総数／事業所数])</f>
        <v>1959</v>
      </c>
      <c r="E20" s="12">
        <f>SUBTOTAL(109,LTBL_11217[個人／事業所数])</f>
        <v>975</v>
      </c>
      <c r="G20" s="12">
        <f>SUBTOTAL(109,LTBL_11217[法人／事業所数])</f>
        <v>972</v>
      </c>
      <c r="I20" s="12">
        <f>SUBTOTAL(109,LTBL_11217[法人以外の団体／事業所数])</f>
        <v>0</v>
      </c>
    </row>
    <row r="21" spans="2:9" ht="15" customHeight="1" x14ac:dyDescent="0.2">
      <c r="E21" s="11">
        <f>LTBL_11217[[#Totals],[個人／事業所数]]/LTBL_11217[[#Totals],[総数／事業所数]]</f>
        <v>0.49770290964777947</v>
      </c>
      <c r="G21" s="11">
        <f>LTBL_11217[[#Totals],[法人／事業所数]]/LTBL_11217[[#Totals],[総数／事業所数]]</f>
        <v>0.49617151607963245</v>
      </c>
      <c r="I21" s="11">
        <f>LTBL_11217[[#Totals],[法人以外の団体／事業所数]]/LTBL_11217[[#Totals],[総数／事業所数]]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242</v>
      </c>
      <c r="D24" s="8">
        <v>12.35</v>
      </c>
      <c r="E24" s="12">
        <v>204</v>
      </c>
      <c r="F24" s="8">
        <v>20.92</v>
      </c>
      <c r="G24" s="12">
        <v>38</v>
      </c>
      <c r="H24" s="8">
        <v>3.91</v>
      </c>
      <c r="I24" s="12">
        <v>0</v>
      </c>
    </row>
    <row r="25" spans="2:9" ht="15" customHeight="1" x14ac:dyDescent="0.2">
      <c r="B25" t="s">
        <v>108</v>
      </c>
      <c r="C25" s="12">
        <v>157</v>
      </c>
      <c r="D25" s="8">
        <v>8.01</v>
      </c>
      <c r="E25" s="12">
        <v>90</v>
      </c>
      <c r="F25" s="8">
        <v>9.23</v>
      </c>
      <c r="G25" s="12">
        <v>66</v>
      </c>
      <c r="H25" s="8">
        <v>6.79</v>
      </c>
      <c r="I25" s="12">
        <v>0</v>
      </c>
    </row>
    <row r="26" spans="2:9" ht="15" customHeight="1" x14ac:dyDescent="0.2">
      <c r="B26" t="s">
        <v>111</v>
      </c>
      <c r="C26" s="12">
        <v>135</v>
      </c>
      <c r="D26" s="8">
        <v>6.89</v>
      </c>
      <c r="E26" s="12">
        <v>119</v>
      </c>
      <c r="F26" s="8">
        <v>12.21</v>
      </c>
      <c r="G26" s="12">
        <v>16</v>
      </c>
      <c r="H26" s="8">
        <v>1.65</v>
      </c>
      <c r="I26" s="12">
        <v>0</v>
      </c>
    </row>
    <row r="27" spans="2:9" ht="15" customHeight="1" x14ac:dyDescent="0.2">
      <c r="B27" t="s">
        <v>97</v>
      </c>
      <c r="C27" s="12">
        <v>131</v>
      </c>
      <c r="D27" s="8">
        <v>6.69</v>
      </c>
      <c r="E27" s="12">
        <v>31</v>
      </c>
      <c r="F27" s="8">
        <v>3.18</v>
      </c>
      <c r="G27" s="12">
        <v>100</v>
      </c>
      <c r="H27" s="8">
        <v>10.29</v>
      </c>
      <c r="I27" s="12">
        <v>0</v>
      </c>
    </row>
    <row r="28" spans="2:9" ht="15" customHeight="1" x14ac:dyDescent="0.2">
      <c r="B28" t="s">
        <v>106</v>
      </c>
      <c r="C28" s="12">
        <v>129</v>
      </c>
      <c r="D28" s="8">
        <v>6.58</v>
      </c>
      <c r="E28" s="12">
        <v>62</v>
      </c>
      <c r="F28" s="8">
        <v>6.36</v>
      </c>
      <c r="G28" s="12">
        <v>67</v>
      </c>
      <c r="H28" s="8">
        <v>6.89</v>
      </c>
      <c r="I28" s="12">
        <v>0</v>
      </c>
    </row>
    <row r="29" spans="2:9" ht="15" customHeight="1" x14ac:dyDescent="0.2">
      <c r="B29" t="s">
        <v>98</v>
      </c>
      <c r="C29" s="12">
        <v>96</v>
      </c>
      <c r="D29" s="8">
        <v>4.9000000000000004</v>
      </c>
      <c r="E29" s="12">
        <v>43</v>
      </c>
      <c r="F29" s="8">
        <v>4.41</v>
      </c>
      <c r="G29" s="12">
        <v>53</v>
      </c>
      <c r="H29" s="8">
        <v>5.45</v>
      </c>
      <c r="I29" s="12">
        <v>0</v>
      </c>
    </row>
    <row r="30" spans="2:9" ht="15" customHeight="1" x14ac:dyDescent="0.2">
      <c r="B30" t="s">
        <v>104</v>
      </c>
      <c r="C30" s="12">
        <v>84</v>
      </c>
      <c r="D30" s="8">
        <v>4.29</v>
      </c>
      <c r="E30" s="12">
        <v>59</v>
      </c>
      <c r="F30" s="8">
        <v>6.05</v>
      </c>
      <c r="G30" s="12">
        <v>25</v>
      </c>
      <c r="H30" s="8">
        <v>2.57</v>
      </c>
      <c r="I30" s="12">
        <v>0</v>
      </c>
    </row>
    <row r="31" spans="2:9" ht="15" customHeight="1" x14ac:dyDescent="0.2">
      <c r="B31" t="s">
        <v>114</v>
      </c>
      <c r="C31" s="12">
        <v>77</v>
      </c>
      <c r="D31" s="8">
        <v>3.93</v>
      </c>
      <c r="E31" s="12">
        <v>59</v>
      </c>
      <c r="F31" s="8">
        <v>6.05</v>
      </c>
      <c r="G31" s="12">
        <v>18</v>
      </c>
      <c r="H31" s="8">
        <v>1.85</v>
      </c>
      <c r="I31" s="12">
        <v>0</v>
      </c>
    </row>
    <row r="32" spans="2:9" ht="15" customHeight="1" x14ac:dyDescent="0.2">
      <c r="B32" t="s">
        <v>115</v>
      </c>
      <c r="C32" s="12">
        <v>74</v>
      </c>
      <c r="D32" s="8">
        <v>3.78</v>
      </c>
      <c r="E32" s="12">
        <v>62</v>
      </c>
      <c r="F32" s="8">
        <v>6.36</v>
      </c>
      <c r="G32" s="12">
        <v>12</v>
      </c>
      <c r="H32" s="8">
        <v>1.23</v>
      </c>
      <c r="I32" s="12">
        <v>0</v>
      </c>
    </row>
    <row r="33" spans="2:9" ht="15" customHeight="1" x14ac:dyDescent="0.2">
      <c r="B33" t="s">
        <v>99</v>
      </c>
      <c r="C33" s="12">
        <v>60</v>
      </c>
      <c r="D33" s="8">
        <v>3.06</v>
      </c>
      <c r="E33" s="12">
        <v>15</v>
      </c>
      <c r="F33" s="8">
        <v>1.54</v>
      </c>
      <c r="G33" s="12">
        <v>45</v>
      </c>
      <c r="H33" s="8">
        <v>4.63</v>
      </c>
      <c r="I33" s="12">
        <v>0</v>
      </c>
    </row>
    <row r="34" spans="2:9" ht="15" customHeight="1" x14ac:dyDescent="0.2">
      <c r="B34" t="s">
        <v>105</v>
      </c>
      <c r="C34" s="12">
        <v>59</v>
      </c>
      <c r="D34" s="8">
        <v>3.01</v>
      </c>
      <c r="E34" s="12">
        <v>34</v>
      </c>
      <c r="F34" s="8">
        <v>3.49</v>
      </c>
      <c r="G34" s="12">
        <v>25</v>
      </c>
      <c r="H34" s="8">
        <v>2.57</v>
      </c>
      <c r="I34" s="12">
        <v>0</v>
      </c>
    </row>
    <row r="35" spans="2:9" ht="15" customHeight="1" x14ac:dyDescent="0.2">
      <c r="B35" t="s">
        <v>113</v>
      </c>
      <c r="C35" s="12">
        <v>51</v>
      </c>
      <c r="D35" s="8">
        <v>2.6</v>
      </c>
      <c r="E35" s="12">
        <v>26</v>
      </c>
      <c r="F35" s="8">
        <v>2.67</v>
      </c>
      <c r="G35" s="12">
        <v>25</v>
      </c>
      <c r="H35" s="8">
        <v>2.57</v>
      </c>
      <c r="I35" s="12">
        <v>0</v>
      </c>
    </row>
    <row r="36" spans="2:9" ht="15" customHeight="1" x14ac:dyDescent="0.2">
      <c r="B36" t="s">
        <v>118</v>
      </c>
      <c r="C36" s="12">
        <v>51</v>
      </c>
      <c r="D36" s="8">
        <v>2.6</v>
      </c>
      <c r="E36" s="12">
        <v>0</v>
      </c>
      <c r="F36" s="8">
        <v>0</v>
      </c>
      <c r="G36" s="12">
        <v>42</v>
      </c>
      <c r="H36" s="8">
        <v>4.32</v>
      </c>
      <c r="I36" s="12">
        <v>0</v>
      </c>
    </row>
    <row r="37" spans="2:9" ht="15" customHeight="1" x14ac:dyDescent="0.2">
      <c r="B37" t="s">
        <v>109</v>
      </c>
      <c r="C37" s="12">
        <v>47</v>
      </c>
      <c r="D37" s="8">
        <v>2.4</v>
      </c>
      <c r="E37" s="12">
        <v>33</v>
      </c>
      <c r="F37" s="8">
        <v>3.38</v>
      </c>
      <c r="G37" s="12">
        <v>14</v>
      </c>
      <c r="H37" s="8">
        <v>1.44</v>
      </c>
      <c r="I37" s="12">
        <v>0</v>
      </c>
    </row>
    <row r="38" spans="2:9" ht="15" customHeight="1" x14ac:dyDescent="0.2">
      <c r="B38" t="s">
        <v>110</v>
      </c>
      <c r="C38" s="12">
        <v>42</v>
      </c>
      <c r="D38" s="8">
        <v>2.14</v>
      </c>
      <c r="E38" s="12">
        <v>10</v>
      </c>
      <c r="F38" s="8">
        <v>1.03</v>
      </c>
      <c r="G38" s="12">
        <v>32</v>
      </c>
      <c r="H38" s="8">
        <v>3.29</v>
      </c>
      <c r="I38" s="12">
        <v>0</v>
      </c>
    </row>
    <row r="39" spans="2:9" ht="15" customHeight="1" x14ac:dyDescent="0.2">
      <c r="B39" t="s">
        <v>103</v>
      </c>
      <c r="C39" s="12">
        <v>41</v>
      </c>
      <c r="D39" s="8">
        <v>2.09</v>
      </c>
      <c r="E39" s="12">
        <v>15</v>
      </c>
      <c r="F39" s="8">
        <v>1.54</v>
      </c>
      <c r="G39" s="12">
        <v>26</v>
      </c>
      <c r="H39" s="8">
        <v>2.67</v>
      </c>
      <c r="I39" s="12">
        <v>0</v>
      </c>
    </row>
    <row r="40" spans="2:9" ht="15" customHeight="1" x14ac:dyDescent="0.2">
      <c r="B40" t="s">
        <v>116</v>
      </c>
      <c r="C40" s="12">
        <v>39</v>
      </c>
      <c r="D40" s="8">
        <v>1.99</v>
      </c>
      <c r="E40" s="12">
        <v>21</v>
      </c>
      <c r="F40" s="8">
        <v>2.15</v>
      </c>
      <c r="G40" s="12">
        <v>18</v>
      </c>
      <c r="H40" s="8">
        <v>1.85</v>
      </c>
      <c r="I40" s="12">
        <v>0</v>
      </c>
    </row>
    <row r="41" spans="2:9" ht="15" customHeight="1" x14ac:dyDescent="0.2">
      <c r="B41" t="s">
        <v>117</v>
      </c>
      <c r="C41" s="12">
        <v>36</v>
      </c>
      <c r="D41" s="8">
        <v>1.84</v>
      </c>
      <c r="E41" s="12">
        <v>3</v>
      </c>
      <c r="F41" s="8">
        <v>0.31</v>
      </c>
      <c r="G41" s="12">
        <v>33</v>
      </c>
      <c r="H41" s="8">
        <v>3.4</v>
      </c>
      <c r="I41" s="12">
        <v>0</v>
      </c>
    </row>
    <row r="42" spans="2:9" ht="15" customHeight="1" x14ac:dyDescent="0.2">
      <c r="B42" t="s">
        <v>102</v>
      </c>
      <c r="C42" s="12">
        <v>31</v>
      </c>
      <c r="D42" s="8">
        <v>1.58</v>
      </c>
      <c r="E42" s="12">
        <v>1</v>
      </c>
      <c r="F42" s="8">
        <v>0.1</v>
      </c>
      <c r="G42" s="12">
        <v>30</v>
      </c>
      <c r="H42" s="8">
        <v>3.09</v>
      </c>
      <c r="I42" s="12">
        <v>0</v>
      </c>
    </row>
    <row r="43" spans="2:9" ht="15" customHeight="1" x14ac:dyDescent="0.2">
      <c r="B43" t="s">
        <v>107</v>
      </c>
      <c r="C43" s="12">
        <v>31</v>
      </c>
      <c r="D43" s="8">
        <v>1.58</v>
      </c>
      <c r="E43" s="12">
        <v>5</v>
      </c>
      <c r="F43" s="8">
        <v>0.51</v>
      </c>
      <c r="G43" s="12">
        <v>26</v>
      </c>
      <c r="H43" s="8">
        <v>2.67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173</v>
      </c>
      <c r="C47" s="12">
        <v>123</v>
      </c>
      <c r="D47" s="8">
        <v>6.28</v>
      </c>
      <c r="E47" s="12">
        <v>108</v>
      </c>
      <c r="F47" s="8">
        <v>11.08</v>
      </c>
      <c r="G47" s="12">
        <v>15</v>
      </c>
      <c r="H47" s="8">
        <v>1.54</v>
      </c>
      <c r="I47" s="12">
        <v>0</v>
      </c>
    </row>
    <row r="48" spans="2:9" ht="15" customHeight="1" x14ac:dyDescent="0.2">
      <c r="B48" t="s">
        <v>167</v>
      </c>
      <c r="C48" s="12">
        <v>79</v>
      </c>
      <c r="D48" s="8">
        <v>4.03</v>
      </c>
      <c r="E48" s="12">
        <v>54</v>
      </c>
      <c r="F48" s="8">
        <v>5.54</v>
      </c>
      <c r="G48" s="12">
        <v>24</v>
      </c>
      <c r="H48" s="8">
        <v>2.4700000000000002</v>
      </c>
      <c r="I48" s="12">
        <v>0</v>
      </c>
    </row>
    <row r="49" spans="2:9" ht="15" customHeight="1" x14ac:dyDescent="0.2">
      <c r="B49" t="s">
        <v>172</v>
      </c>
      <c r="C49" s="12">
        <v>75</v>
      </c>
      <c r="D49" s="8">
        <v>3.83</v>
      </c>
      <c r="E49" s="12">
        <v>70</v>
      </c>
      <c r="F49" s="8">
        <v>7.18</v>
      </c>
      <c r="G49" s="12">
        <v>5</v>
      </c>
      <c r="H49" s="8">
        <v>0.51</v>
      </c>
      <c r="I49" s="12">
        <v>0</v>
      </c>
    </row>
    <row r="50" spans="2:9" ht="15" customHeight="1" x14ac:dyDescent="0.2">
      <c r="B50" t="s">
        <v>175</v>
      </c>
      <c r="C50" s="12">
        <v>49</v>
      </c>
      <c r="D50" s="8">
        <v>2.5</v>
      </c>
      <c r="E50" s="12">
        <v>42</v>
      </c>
      <c r="F50" s="8">
        <v>4.3099999999999996</v>
      </c>
      <c r="G50" s="12">
        <v>7</v>
      </c>
      <c r="H50" s="8">
        <v>0.72</v>
      </c>
      <c r="I50" s="12">
        <v>0</v>
      </c>
    </row>
    <row r="51" spans="2:9" ht="15" customHeight="1" x14ac:dyDescent="0.2">
      <c r="B51" t="s">
        <v>174</v>
      </c>
      <c r="C51" s="12">
        <v>43</v>
      </c>
      <c r="D51" s="8">
        <v>2.19</v>
      </c>
      <c r="E51" s="12">
        <v>33</v>
      </c>
      <c r="F51" s="8">
        <v>3.38</v>
      </c>
      <c r="G51" s="12">
        <v>10</v>
      </c>
      <c r="H51" s="8">
        <v>1.03</v>
      </c>
      <c r="I51" s="12">
        <v>0</v>
      </c>
    </row>
    <row r="52" spans="2:9" ht="15" customHeight="1" x14ac:dyDescent="0.2">
      <c r="B52" t="s">
        <v>177</v>
      </c>
      <c r="C52" s="12">
        <v>39</v>
      </c>
      <c r="D52" s="8">
        <v>1.99</v>
      </c>
      <c r="E52" s="12">
        <v>6</v>
      </c>
      <c r="F52" s="8">
        <v>0.62</v>
      </c>
      <c r="G52" s="12">
        <v>33</v>
      </c>
      <c r="H52" s="8">
        <v>3.4</v>
      </c>
      <c r="I52" s="12">
        <v>0</v>
      </c>
    </row>
    <row r="53" spans="2:9" ht="15" customHeight="1" x14ac:dyDescent="0.2">
      <c r="B53" t="s">
        <v>163</v>
      </c>
      <c r="C53" s="12">
        <v>39</v>
      </c>
      <c r="D53" s="8">
        <v>1.99</v>
      </c>
      <c r="E53" s="12">
        <v>21</v>
      </c>
      <c r="F53" s="8">
        <v>2.15</v>
      </c>
      <c r="G53" s="12">
        <v>18</v>
      </c>
      <c r="H53" s="8">
        <v>1.85</v>
      </c>
      <c r="I53" s="12">
        <v>0</v>
      </c>
    </row>
    <row r="54" spans="2:9" ht="15" customHeight="1" x14ac:dyDescent="0.2">
      <c r="B54" t="s">
        <v>176</v>
      </c>
      <c r="C54" s="12">
        <v>39</v>
      </c>
      <c r="D54" s="8">
        <v>1.99</v>
      </c>
      <c r="E54" s="12">
        <v>21</v>
      </c>
      <c r="F54" s="8">
        <v>2.15</v>
      </c>
      <c r="G54" s="12">
        <v>18</v>
      </c>
      <c r="H54" s="8">
        <v>1.85</v>
      </c>
      <c r="I54" s="12">
        <v>0</v>
      </c>
    </row>
    <row r="55" spans="2:9" ht="15" customHeight="1" x14ac:dyDescent="0.2">
      <c r="B55" t="s">
        <v>164</v>
      </c>
      <c r="C55" s="12">
        <v>36</v>
      </c>
      <c r="D55" s="8">
        <v>1.84</v>
      </c>
      <c r="E55" s="12">
        <v>17</v>
      </c>
      <c r="F55" s="8">
        <v>1.74</v>
      </c>
      <c r="G55" s="12">
        <v>19</v>
      </c>
      <c r="H55" s="8">
        <v>1.95</v>
      </c>
      <c r="I55" s="12">
        <v>0</v>
      </c>
    </row>
    <row r="56" spans="2:9" ht="15" customHeight="1" x14ac:dyDescent="0.2">
      <c r="B56" t="s">
        <v>169</v>
      </c>
      <c r="C56" s="12">
        <v>36</v>
      </c>
      <c r="D56" s="8">
        <v>1.84</v>
      </c>
      <c r="E56" s="12">
        <v>32</v>
      </c>
      <c r="F56" s="8">
        <v>3.28</v>
      </c>
      <c r="G56" s="12">
        <v>4</v>
      </c>
      <c r="H56" s="8">
        <v>0.41</v>
      </c>
      <c r="I56" s="12">
        <v>0</v>
      </c>
    </row>
    <row r="57" spans="2:9" ht="15" customHeight="1" x14ac:dyDescent="0.2">
      <c r="B57" t="s">
        <v>185</v>
      </c>
      <c r="C57" s="12">
        <v>35</v>
      </c>
      <c r="D57" s="8">
        <v>1.79</v>
      </c>
      <c r="E57" s="12">
        <v>16</v>
      </c>
      <c r="F57" s="8">
        <v>1.64</v>
      </c>
      <c r="G57" s="12">
        <v>19</v>
      </c>
      <c r="H57" s="8">
        <v>1.95</v>
      </c>
      <c r="I57" s="12">
        <v>0</v>
      </c>
    </row>
    <row r="58" spans="2:9" ht="15" customHeight="1" x14ac:dyDescent="0.2">
      <c r="B58" t="s">
        <v>170</v>
      </c>
      <c r="C58" s="12">
        <v>34</v>
      </c>
      <c r="D58" s="8">
        <v>1.74</v>
      </c>
      <c r="E58" s="12">
        <v>31</v>
      </c>
      <c r="F58" s="8">
        <v>3.18</v>
      </c>
      <c r="G58" s="12">
        <v>3</v>
      </c>
      <c r="H58" s="8">
        <v>0.31</v>
      </c>
      <c r="I58" s="12">
        <v>0</v>
      </c>
    </row>
    <row r="59" spans="2:9" ht="15" customHeight="1" x14ac:dyDescent="0.2">
      <c r="B59" t="s">
        <v>189</v>
      </c>
      <c r="C59" s="12">
        <v>32</v>
      </c>
      <c r="D59" s="8">
        <v>1.63</v>
      </c>
      <c r="E59" s="12">
        <v>30</v>
      </c>
      <c r="F59" s="8">
        <v>3.08</v>
      </c>
      <c r="G59" s="12">
        <v>2</v>
      </c>
      <c r="H59" s="8">
        <v>0.21</v>
      </c>
      <c r="I59" s="12">
        <v>0</v>
      </c>
    </row>
    <row r="60" spans="2:9" ht="15" customHeight="1" x14ac:dyDescent="0.2">
      <c r="B60" t="s">
        <v>159</v>
      </c>
      <c r="C60" s="12">
        <v>31</v>
      </c>
      <c r="D60" s="8">
        <v>1.58</v>
      </c>
      <c r="E60" s="12">
        <v>14</v>
      </c>
      <c r="F60" s="8">
        <v>1.44</v>
      </c>
      <c r="G60" s="12">
        <v>17</v>
      </c>
      <c r="H60" s="8">
        <v>1.75</v>
      </c>
      <c r="I60" s="12">
        <v>0</v>
      </c>
    </row>
    <row r="61" spans="2:9" ht="15" customHeight="1" x14ac:dyDescent="0.2">
      <c r="B61" t="s">
        <v>158</v>
      </c>
      <c r="C61" s="12">
        <v>30</v>
      </c>
      <c r="D61" s="8">
        <v>1.53</v>
      </c>
      <c r="E61" s="12">
        <v>8</v>
      </c>
      <c r="F61" s="8">
        <v>0.82</v>
      </c>
      <c r="G61" s="12">
        <v>22</v>
      </c>
      <c r="H61" s="8">
        <v>2.2599999999999998</v>
      </c>
      <c r="I61" s="12">
        <v>0</v>
      </c>
    </row>
    <row r="62" spans="2:9" ht="15" customHeight="1" x14ac:dyDescent="0.2">
      <c r="B62" t="s">
        <v>171</v>
      </c>
      <c r="C62" s="12">
        <v>30</v>
      </c>
      <c r="D62" s="8">
        <v>1.53</v>
      </c>
      <c r="E62" s="12">
        <v>17</v>
      </c>
      <c r="F62" s="8">
        <v>1.74</v>
      </c>
      <c r="G62" s="12">
        <v>13</v>
      </c>
      <c r="H62" s="8">
        <v>1.34</v>
      </c>
      <c r="I62" s="12">
        <v>0</v>
      </c>
    </row>
    <row r="63" spans="2:9" ht="15" customHeight="1" x14ac:dyDescent="0.2">
      <c r="B63" t="s">
        <v>179</v>
      </c>
      <c r="C63" s="12">
        <v>30</v>
      </c>
      <c r="D63" s="8">
        <v>1.53</v>
      </c>
      <c r="E63" s="12">
        <v>26</v>
      </c>
      <c r="F63" s="8">
        <v>2.67</v>
      </c>
      <c r="G63" s="12">
        <v>4</v>
      </c>
      <c r="H63" s="8">
        <v>0.41</v>
      </c>
      <c r="I63" s="12">
        <v>0</v>
      </c>
    </row>
    <row r="64" spans="2:9" ht="15" customHeight="1" x14ac:dyDescent="0.2">
      <c r="B64" t="s">
        <v>166</v>
      </c>
      <c r="C64" s="12">
        <v>29</v>
      </c>
      <c r="D64" s="8">
        <v>1.48</v>
      </c>
      <c r="E64" s="12">
        <v>5</v>
      </c>
      <c r="F64" s="8">
        <v>0.51</v>
      </c>
      <c r="G64" s="12">
        <v>24</v>
      </c>
      <c r="H64" s="8">
        <v>2.4700000000000002</v>
      </c>
      <c r="I64" s="12">
        <v>0</v>
      </c>
    </row>
    <row r="65" spans="2:9" ht="15" customHeight="1" x14ac:dyDescent="0.2">
      <c r="B65" t="s">
        <v>160</v>
      </c>
      <c r="C65" s="12">
        <v>28</v>
      </c>
      <c r="D65" s="8">
        <v>1.43</v>
      </c>
      <c r="E65" s="12">
        <v>7</v>
      </c>
      <c r="F65" s="8">
        <v>0.72</v>
      </c>
      <c r="G65" s="12">
        <v>21</v>
      </c>
      <c r="H65" s="8">
        <v>2.16</v>
      </c>
      <c r="I65" s="12">
        <v>0</v>
      </c>
    </row>
    <row r="66" spans="2:9" ht="15" customHeight="1" x14ac:dyDescent="0.2">
      <c r="B66" t="s">
        <v>162</v>
      </c>
      <c r="C66" s="12">
        <v>28</v>
      </c>
      <c r="D66" s="8">
        <v>1.43</v>
      </c>
      <c r="E66" s="12">
        <v>20</v>
      </c>
      <c r="F66" s="8">
        <v>2.0499999999999998</v>
      </c>
      <c r="G66" s="12">
        <v>8</v>
      </c>
      <c r="H66" s="8">
        <v>0.82</v>
      </c>
      <c r="I66" s="12">
        <v>0</v>
      </c>
    </row>
    <row r="68" spans="2:9" ht="15" customHeight="1" x14ac:dyDescent="0.2">
      <c r="B68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E1D81-6F18-4286-AA1F-3621381F34CA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298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495</v>
      </c>
      <c r="D6" s="8">
        <v>16.98</v>
      </c>
      <c r="E6" s="12">
        <v>213</v>
      </c>
      <c r="F6" s="8">
        <v>13.37</v>
      </c>
      <c r="G6" s="12">
        <v>282</v>
      </c>
      <c r="H6" s="8">
        <v>21.59</v>
      </c>
      <c r="I6" s="12">
        <v>0</v>
      </c>
    </row>
    <row r="7" spans="2:9" ht="15" customHeight="1" x14ac:dyDescent="0.2">
      <c r="B7" t="s">
        <v>76</v>
      </c>
      <c r="C7" s="12">
        <v>280</v>
      </c>
      <c r="D7" s="8">
        <v>9.61</v>
      </c>
      <c r="E7" s="12">
        <v>115</v>
      </c>
      <c r="F7" s="8">
        <v>7.22</v>
      </c>
      <c r="G7" s="12">
        <v>165</v>
      </c>
      <c r="H7" s="8">
        <v>12.63</v>
      </c>
      <c r="I7" s="12">
        <v>0</v>
      </c>
    </row>
    <row r="8" spans="2:9" ht="15" customHeight="1" x14ac:dyDescent="0.2">
      <c r="B8" t="s">
        <v>77</v>
      </c>
      <c r="C8" s="12">
        <v>13</v>
      </c>
      <c r="D8" s="8">
        <v>0.45</v>
      </c>
      <c r="E8" s="12">
        <v>0</v>
      </c>
      <c r="F8" s="8">
        <v>0</v>
      </c>
      <c r="G8" s="12">
        <v>13</v>
      </c>
      <c r="H8" s="8">
        <v>1</v>
      </c>
      <c r="I8" s="12">
        <v>0</v>
      </c>
    </row>
    <row r="9" spans="2:9" ht="15" customHeight="1" x14ac:dyDescent="0.2">
      <c r="B9" t="s">
        <v>78</v>
      </c>
      <c r="C9" s="12">
        <v>9</v>
      </c>
      <c r="D9" s="8">
        <v>0.31</v>
      </c>
      <c r="E9" s="12">
        <v>1</v>
      </c>
      <c r="F9" s="8">
        <v>0.06</v>
      </c>
      <c r="G9" s="12">
        <v>8</v>
      </c>
      <c r="H9" s="8">
        <v>0.61</v>
      </c>
      <c r="I9" s="12">
        <v>0</v>
      </c>
    </row>
    <row r="10" spans="2:9" ht="15" customHeight="1" x14ac:dyDescent="0.2">
      <c r="B10" t="s">
        <v>79</v>
      </c>
      <c r="C10" s="12">
        <v>35</v>
      </c>
      <c r="D10" s="8">
        <v>1.2</v>
      </c>
      <c r="E10" s="12">
        <v>2</v>
      </c>
      <c r="F10" s="8">
        <v>0.13</v>
      </c>
      <c r="G10" s="12">
        <v>33</v>
      </c>
      <c r="H10" s="8">
        <v>2.5299999999999998</v>
      </c>
      <c r="I10" s="12">
        <v>0</v>
      </c>
    </row>
    <row r="11" spans="2:9" ht="15" customHeight="1" x14ac:dyDescent="0.2">
      <c r="B11" t="s">
        <v>80</v>
      </c>
      <c r="C11" s="12">
        <v>648</v>
      </c>
      <c r="D11" s="8">
        <v>22.23</v>
      </c>
      <c r="E11" s="12">
        <v>320</v>
      </c>
      <c r="F11" s="8">
        <v>20.09</v>
      </c>
      <c r="G11" s="12">
        <v>328</v>
      </c>
      <c r="H11" s="8">
        <v>25.11</v>
      </c>
      <c r="I11" s="12">
        <v>0</v>
      </c>
    </row>
    <row r="12" spans="2:9" ht="15" customHeight="1" x14ac:dyDescent="0.2">
      <c r="B12" t="s">
        <v>81</v>
      </c>
      <c r="C12" s="12">
        <v>11</v>
      </c>
      <c r="D12" s="8">
        <v>0.38</v>
      </c>
      <c r="E12" s="12">
        <v>6</v>
      </c>
      <c r="F12" s="8">
        <v>0.38</v>
      </c>
      <c r="G12" s="12">
        <v>5</v>
      </c>
      <c r="H12" s="8">
        <v>0.38</v>
      </c>
      <c r="I12" s="12">
        <v>0</v>
      </c>
    </row>
    <row r="13" spans="2:9" ht="15" customHeight="1" x14ac:dyDescent="0.2">
      <c r="B13" t="s">
        <v>82</v>
      </c>
      <c r="C13" s="12">
        <v>207</v>
      </c>
      <c r="D13" s="8">
        <v>7.1</v>
      </c>
      <c r="E13" s="12">
        <v>68</v>
      </c>
      <c r="F13" s="8">
        <v>4.2699999999999996</v>
      </c>
      <c r="G13" s="12">
        <v>139</v>
      </c>
      <c r="H13" s="8">
        <v>10.64</v>
      </c>
      <c r="I13" s="12">
        <v>0</v>
      </c>
    </row>
    <row r="14" spans="2:9" ht="15" customHeight="1" x14ac:dyDescent="0.2">
      <c r="B14" t="s">
        <v>83</v>
      </c>
      <c r="C14" s="12">
        <v>123</v>
      </c>
      <c r="D14" s="8">
        <v>4.22</v>
      </c>
      <c r="E14" s="12">
        <v>63</v>
      </c>
      <c r="F14" s="8">
        <v>3.95</v>
      </c>
      <c r="G14" s="12">
        <v>60</v>
      </c>
      <c r="H14" s="8">
        <v>4.59</v>
      </c>
      <c r="I14" s="12">
        <v>0</v>
      </c>
    </row>
    <row r="15" spans="2:9" ht="15" customHeight="1" x14ac:dyDescent="0.2">
      <c r="B15" t="s">
        <v>84</v>
      </c>
      <c r="C15" s="12">
        <v>307</v>
      </c>
      <c r="D15" s="8">
        <v>10.53</v>
      </c>
      <c r="E15" s="12">
        <v>250</v>
      </c>
      <c r="F15" s="8">
        <v>15.69</v>
      </c>
      <c r="G15" s="12">
        <v>56</v>
      </c>
      <c r="H15" s="8">
        <v>4.29</v>
      </c>
      <c r="I15" s="12">
        <v>0</v>
      </c>
    </row>
    <row r="16" spans="2:9" ht="15" customHeight="1" x14ac:dyDescent="0.2">
      <c r="B16" t="s">
        <v>85</v>
      </c>
      <c r="C16" s="12">
        <v>392</v>
      </c>
      <c r="D16" s="8">
        <v>13.45</v>
      </c>
      <c r="E16" s="12">
        <v>310</v>
      </c>
      <c r="F16" s="8">
        <v>19.46</v>
      </c>
      <c r="G16" s="12">
        <v>80</v>
      </c>
      <c r="H16" s="8">
        <v>6.13</v>
      </c>
      <c r="I16" s="12">
        <v>2</v>
      </c>
    </row>
    <row r="17" spans="2:9" ht="15" customHeight="1" x14ac:dyDescent="0.2">
      <c r="B17" t="s">
        <v>86</v>
      </c>
      <c r="C17" s="12">
        <v>104</v>
      </c>
      <c r="D17" s="8">
        <v>3.57</v>
      </c>
      <c r="E17" s="12">
        <v>70</v>
      </c>
      <c r="F17" s="8">
        <v>4.3899999999999997</v>
      </c>
      <c r="G17" s="12">
        <v>26</v>
      </c>
      <c r="H17" s="8">
        <v>1.99</v>
      </c>
      <c r="I17" s="12">
        <v>0</v>
      </c>
    </row>
    <row r="18" spans="2:9" ht="15" customHeight="1" x14ac:dyDescent="0.2">
      <c r="B18" t="s">
        <v>87</v>
      </c>
      <c r="C18" s="12">
        <v>161</v>
      </c>
      <c r="D18" s="8">
        <v>5.52</v>
      </c>
      <c r="E18" s="12">
        <v>104</v>
      </c>
      <c r="F18" s="8">
        <v>6.53</v>
      </c>
      <c r="G18" s="12">
        <v>53</v>
      </c>
      <c r="H18" s="8">
        <v>4.0599999999999996</v>
      </c>
      <c r="I18" s="12">
        <v>1</v>
      </c>
    </row>
    <row r="19" spans="2:9" ht="15" customHeight="1" x14ac:dyDescent="0.2">
      <c r="B19" t="s">
        <v>88</v>
      </c>
      <c r="C19" s="12">
        <v>130</v>
      </c>
      <c r="D19" s="8">
        <v>4.46</v>
      </c>
      <c r="E19" s="12">
        <v>71</v>
      </c>
      <c r="F19" s="8">
        <v>4.46</v>
      </c>
      <c r="G19" s="12">
        <v>58</v>
      </c>
      <c r="H19" s="8">
        <v>4.4400000000000004</v>
      </c>
      <c r="I19" s="12">
        <v>0</v>
      </c>
    </row>
    <row r="20" spans="2:9" ht="15" customHeight="1" x14ac:dyDescent="0.2">
      <c r="B20" s="9" t="s">
        <v>269</v>
      </c>
      <c r="C20" s="12">
        <f>SUM(LTBL_11218[総数／事業所数])</f>
        <v>2915</v>
      </c>
      <c r="E20" s="12">
        <f>SUBTOTAL(109,LTBL_11218[個人／事業所数])</f>
        <v>1593</v>
      </c>
      <c r="G20" s="12">
        <f>SUBTOTAL(109,LTBL_11218[法人／事業所数])</f>
        <v>1306</v>
      </c>
      <c r="I20" s="12">
        <f>SUBTOTAL(109,LTBL_11218[法人以外の団体／事業所数])</f>
        <v>3</v>
      </c>
    </row>
    <row r="21" spans="2:9" ht="15" customHeight="1" x14ac:dyDescent="0.2">
      <c r="E21" s="11">
        <f>LTBL_11218[[#Totals],[個人／事業所数]]/LTBL_11218[[#Totals],[総数／事業所数]]</f>
        <v>0.54648370497427101</v>
      </c>
      <c r="G21" s="11">
        <f>LTBL_11218[[#Totals],[法人／事業所数]]/LTBL_11218[[#Totals],[総数／事業所数]]</f>
        <v>0.44802744425385937</v>
      </c>
      <c r="I21" s="11">
        <f>LTBL_11218[[#Totals],[法人以外の団体／事業所数]]/LTBL_11218[[#Totals],[総数／事業所数]]</f>
        <v>1.0291595197255575E-3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330</v>
      </c>
      <c r="D24" s="8">
        <v>11.32</v>
      </c>
      <c r="E24" s="12">
        <v>287</v>
      </c>
      <c r="F24" s="8">
        <v>18.02</v>
      </c>
      <c r="G24" s="12">
        <v>43</v>
      </c>
      <c r="H24" s="8">
        <v>3.29</v>
      </c>
      <c r="I24" s="12">
        <v>0</v>
      </c>
    </row>
    <row r="25" spans="2:9" ht="15" customHeight="1" x14ac:dyDescent="0.2">
      <c r="B25" t="s">
        <v>111</v>
      </c>
      <c r="C25" s="12">
        <v>281</v>
      </c>
      <c r="D25" s="8">
        <v>9.64</v>
      </c>
      <c r="E25" s="12">
        <v>241</v>
      </c>
      <c r="F25" s="8">
        <v>15.13</v>
      </c>
      <c r="G25" s="12">
        <v>40</v>
      </c>
      <c r="H25" s="8">
        <v>3.06</v>
      </c>
      <c r="I25" s="12">
        <v>0</v>
      </c>
    </row>
    <row r="26" spans="2:9" ht="15" customHeight="1" x14ac:dyDescent="0.2">
      <c r="B26" t="s">
        <v>97</v>
      </c>
      <c r="C26" s="12">
        <v>220</v>
      </c>
      <c r="D26" s="8">
        <v>7.55</v>
      </c>
      <c r="E26" s="12">
        <v>77</v>
      </c>
      <c r="F26" s="8">
        <v>4.83</v>
      </c>
      <c r="G26" s="12">
        <v>143</v>
      </c>
      <c r="H26" s="8">
        <v>10.95</v>
      </c>
      <c r="I26" s="12">
        <v>0</v>
      </c>
    </row>
    <row r="27" spans="2:9" ht="15" customHeight="1" x14ac:dyDescent="0.2">
      <c r="B27" t="s">
        <v>106</v>
      </c>
      <c r="C27" s="12">
        <v>209</v>
      </c>
      <c r="D27" s="8">
        <v>7.17</v>
      </c>
      <c r="E27" s="12">
        <v>109</v>
      </c>
      <c r="F27" s="8">
        <v>6.84</v>
      </c>
      <c r="G27" s="12">
        <v>100</v>
      </c>
      <c r="H27" s="8">
        <v>7.66</v>
      </c>
      <c r="I27" s="12">
        <v>0</v>
      </c>
    </row>
    <row r="28" spans="2:9" ht="15" customHeight="1" x14ac:dyDescent="0.2">
      <c r="B28" t="s">
        <v>108</v>
      </c>
      <c r="C28" s="12">
        <v>153</v>
      </c>
      <c r="D28" s="8">
        <v>5.25</v>
      </c>
      <c r="E28" s="12">
        <v>57</v>
      </c>
      <c r="F28" s="8">
        <v>3.58</v>
      </c>
      <c r="G28" s="12">
        <v>96</v>
      </c>
      <c r="H28" s="8">
        <v>7.35</v>
      </c>
      <c r="I28" s="12">
        <v>0</v>
      </c>
    </row>
    <row r="29" spans="2:9" ht="15" customHeight="1" x14ac:dyDescent="0.2">
      <c r="B29" t="s">
        <v>98</v>
      </c>
      <c r="C29" s="12">
        <v>151</v>
      </c>
      <c r="D29" s="8">
        <v>5.18</v>
      </c>
      <c r="E29" s="12">
        <v>88</v>
      </c>
      <c r="F29" s="8">
        <v>5.52</v>
      </c>
      <c r="G29" s="12">
        <v>63</v>
      </c>
      <c r="H29" s="8">
        <v>4.82</v>
      </c>
      <c r="I29" s="12">
        <v>0</v>
      </c>
    </row>
    <row r="30" spans="2:9" ht="15" customHeight="1" x14ac:dyDescent="0.2">
      <c r="B30" t="s">
        <v>99</v>
      </c>
      <c r="C30" s="12">
        <v>124</v>
      </c>
      <c r="D30" s="8">
        <v>4.25</v>
      </c>
      <c r="E30" s="12">
        <v>48</v>
      </c>
      <c r="F30" s="8">
        <v>3.01</v>
      </c>
      <c r="G30" s="12">
        <v>76</v>
      </c>
      <c r="H30" s="8">
        <v>5.82</v>
      </c>
      <c r="I30" s="12">
        <v>0</v>
      </c>
    </row>
    <row r="31" spans="2:9" ht="15" customHeight="1" x14ac:dyDescent="0.2">
      <c r="B31" t="s">
        <v>104</v>
      </c>
      <c r="C31" s="12">
        <v>119</v>
      </c>
      <c r="D31" s="8">
        <v>4.08</v>
      </c>
      <c r="E31" s="12">
        <v>90</v>
      </c>
      <c r="F31" s="8">
        <v>5.65</v>
      </c>
      <c r="G31" s="12">
        <v>29</v>
      </c>
      <c r="H31" s="8">
        <v>2.2200000000000002</v>
      </c>
      <c r="I31" s="12">
        <v>0</v>
      </c>
    </row>
    <row r="32" spans="2:9" ht="15" customHeight="1" x14ac:dyDescent="0.2">
      <c r="B32" t="s">
        <v>115</v>
      </c>
      <c r="C32" s="12">
        <v>109</v>
      </c>
      <c r="D32" s="8">
        <v>3.74</v>
      </c>
      <c r="E32" s="12">
        <v>104</v>
      </c>
      <c r="F32" s="8">
        <v>6.53</v>
      </c>
      <c r="G32" s="12">
        <v>5</v>
      </c>
      <c r="H32" s="8">
        <v>0.38</v>
      </c>
      <c r="I32" s="12">
        <v>0</v>
      </c>
    </row>
    <row r="33" spans="2:9" ht="15" customHeight="1" x14ac:dyDescent="0.2">
      <c r="B33" t="s">
        <v>105</v>
      </c>
      <c r="C33" s="12">
        <v>104</v>
      </c>
      <c r="D33" s="8">
        <v>3.57</v>
      </c>
      <c r="E33" s="12">
        <v>55</v>
      </c>
      <c r="F33" s="8">
        <v>3.45</v>
      </c>
      <c r="G33" s="12">
        <v>49</v>
      </c>
      <c r="H33" s="8">
        <v>3.75</v>
      </c>
      <c r="I33" s="12">
        <v>0</v>
      </c>
    </row>
    <row r="34" spans="2:9" ht="15" customHeight="1" x14ac:dyDescent="0.2">
      <c r="B34" t="s">
        <v>114</v>
      </c>
      <c r="C34" s="12">
        <v>104</v>
      </c>
      <c r="D34" s="8">
        <v>3.57</v>
      </c>
      <c r="E34" s="12">
        <v>70</v>
      </c>
      <c r="F34" s="8">
        <v>4.3899999999999997</v>
      </c>
      <c r="G34" s="12">
        <v>26</v>
      </c>
      <c r="H34" s="8">
        <v>1.99</v>
      </c>
      <c r="I34" s="12">
        <v>0</v>
      </c>
    </row>
    <row r="35" spans="2:9" ht="15" customHeight="1" x14ac:dyDescent="0.2">
      <c r="B35" t="s">
        <v>116</v>
      </c>
      <c r="C35" s="12">
        <v>81</v>
      </c>
      <c r="D35" s="8">
        <v>2.78</v>
      </c>
      <c r="E35" s="12">
        <v>61</v>
      </c>
      <c r="F35" s="8">
        <v>3.83</v>
      </c>
      <c r="G35" s="12">
        <v>20</v>
      </c>
      <c r="H35" s="8">
        <v>1.53</v>
      </c>
      <c r="I35" s="12">
        <v>0</v>
      </c>
    </row>
    <row r="36" spans="2:9" ht="15" customHeight="1" x14ac:dyDescent="0.2">
      <c r="B36" t="s">
        <v>127</v>
      </c>
      <c r="C36" s="12">
        <v>71</v>
      </c>
      <c r="D36" s="8">
        <v>2.44</v>
      </c>
      <c r="E36" s="12">
        <v>56</v>
      </c>
      <c r="F36" s="8">
        <v>3.52</v>
      </c>
      <c r="G36" s="12">
        <v>15</v>
      </c>
      <c r="H36" s="8">
        <v>1.1499999999999999</v>
      </c>
      <c r="I36" s="12">
        <v>0</v>
      </c>
    </row>
    <row r="37" spans="2:9" ht="15" customHeight="1" x14ac:dyDescent="0.2">
      <c r="B37" t="s">
        <v>109</v>
      </c>
      <c r="C37" s="12">
        <v>67</v>
      </c>
      <c r="D37" s="8">
        <v>2.2999999999999998</v>
      </c>
      <c r="E37" s="12">
        <v>38</v>
      </c>
      <c r="F37" s="8">
        <v>2.39</v>
      </c>
      <c r="G37" s="12">
        <v>29</v>
      </c>
      <c r="H37" s="8">
        <v>2.2200000000000002</v>
      </c>
      <c r="I37" s="12">
        <v>0</v>
      </c>
    </row>
    <row r="38" spans="2:9" ht="15" customHeight="1" x14ac:dyDescent="0.2">
      <c r="B38" t="s">
        <v>103</v>
      </c>
      <c r="C38" s="12">
        <v>56</v>
      </c>
      <c r="D38" s="8">
        <v>1.92</v>
      </c>
      <c r="E38" s="12">
        <v>29</v>
      </c>
      <c r="F38" s="8">
        <v>1.82</v>
      </c>
      <c r="G38" s="12">
        <v>27</v>
      </c>
      <c r="H38" s="8">
        <v>2.0699999999999998</v>
      </c>
      <c r="I38" s="12">
        <v>0</v>
      </c>
    </row>
    <row r="39" spans="2:9" ht="15" customHeight="1" x14ac:dyDescent="0.2">
      <c r="B39" t="s">
        <v>118</v>
      </c>
      <c r="C39" s="12">
        <v>52</v>
      </c>
      <c r="D39" s="8">
        <v>1.78</v>
      </c>
      <c r="E39" s="12">
        <v>0</v>
      </c>
      <c r="F39" s="8">
        <v>0</v>
      </c>
      <c r="G39" s="12">
        <v>48</v>
      </c>
      <c r="H39" s="8">
        <v>3.68</v>
      </c>
      <c r="I39" s="12">
        <v>1</v>
      </c>
    </row>
    <row r="40" spans="2:9" ht="15" customHeight="1" x14ac:dyDescent="0.2">
      <c r="B40" t="s">
        <v>110</v>
      </c>
      <c r="C40" s="12">
        <v>51</v>
      </c>
      <c r="D40" s="8">
        <v>1.75</v>
      </c>
      <c r="E40" s="12">
        <v>25</v>
      </c>
      <c r="F40" s="8">
        <v>1.57</v>
      </c>
      <c r="G40" s="12">
        <v>26</v>
      </c>
      <c r="H40" s="8">
        <v>1.99</v>
      </c>
      <c r="I40" s="12">
        <v>0</v>
      </c>
    </row>
    <row r="41" spans="2:9" ht="15" customHeight="1" x14ac:dyDescent="0.2">
      <c r="B41" t="s">
        <v>113</v>
      </c>
      <c r="C41" s="12">
        <v>51</v>
      </c>
      <c r="D41" s="8">
        <v>1.75</v>
      </c>
      <c r="E41" s="12">
        <v>20</v>
      </c>
      <c r="F41" s="8">
        <v>1.26</v>
      </c>
      <c r="G41" s="12">
        <v>31</v>
      </c>
      <c r="H41" s="8">
        <v>2.37</v>
      </c>
      <c r="I41" s="12">
        <v>0</v>
      </c>
    </row>
    <row r="42" spans="2:9" ht="15" customHeight="1" x14ac:dyDescent="0.2">
      <c r="B42" t="s">
        <v>101</v>
      </c>
      <c r="C42" s="12">
        <v>42</v>
      </c>
      <c r="D42" s="8">
        <v>1.44</v>
      </c>
      <c r="E42" s="12">
        <v>14</v>
      </c>
      <c r="F42" s="8">
        <v>0.88</v>
      </c>
      <c r="G42" s="12">
        <v>28</v>
      </c>
      <c r="H42" s="8">
        <v>2.14</v>
      </c>
      <c r="I42" s="12">
        <v>0</v>
      </c>
    </row>
    <row r="43" spans="2:9" ht="15" customHeight="1" x14ac:dyDescent="0.2">
      <c r="B43" t="s">
        <v>107</v>
      </c>
      <c r="C43" s="12">
        <v>39</v>
      </c>
      <c r="D43" s="8">
        <v>1.34</v>
      </c>
      <c r="E43" s="12">
        <v>9</v>
      </c>
      <c r="F43" s="8">
        <v>0.56000000000000005</v>
      </c>
      <c r="G43" s="12">
        <v>30</v>
      </c>
      <c r="H43" s="8">
        <v>2.2999999999999998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173</v>
      </c>
      <c r="C47" s="12">
        <v>182</v>
      </c>
      <c r="D47" s="8">
        <v>6.24</v>
      </c>
      <c r="E47" s="12">
        <v>161</v>
      </c>
      <c r="F47" s="8">
        <v>10.11</v>
      </c>
      <c r="G47" s="12">
        <v>21</v>
      </c>
      <c r="H47" s="8">
        <v>1.61</v>
      </c>
      <c r="I47" s="12">
        <v>0</v>
      </c>
    </row>
    <row r="48" spans="2:9" ht="15" customHeight="1" x14ac:dyDescent="0.2">
      <c r="B48" t="s">
        <v>172</v>
      </c>
      <c r="C48" s="12">
        <v>102</v>
      </c>
      <c r="D48" s="8">
        <v>3.5</v>
      </c>
      <c r="E48" s="12">
        <v>98</v>
      </c>
      <c r="F48" s="8">
        <v>6.15</v>
      </c>
      <c r="G48" s="12">
        <v>4</v>
      </c>
      <c r="H48" s="8">
        <v>0.31</v>
      </c>
      <c r="I48" s="12">
        <v>0</v>
      </c>
    </row>
    <row r="49" spans="2:9" ht="15" customHeight="1" x14ac:dyDescent="0.2">
      <c r="B49" t="s">
        <v>167</v>
      </c>
      <c r="C49" s="12">
        <v>93</v>
      </c>
      <c r="D49" s="8">
        <v>3.19</v>
      </c>
      <c r="E49" s="12">
        <v>46</v>
      </c>
      <c r="F49" s="8">
        <v>2.89</v>
      </c>
      <c r="G49" s="12">
        <v>47</v>
      </c>
      <c r="H49" s="8">
        <v>3.6</v>
      </c>
      <c r="I49" s="12">
        <v>0</v>
      </c>
    </row>
    <row r="50" spans="2:9" ht="15" customHeight="1" x14ac:dyDescent="0.2">
      <c r="B50" t="s">
        <v>169</v>
      </c>
      <c r="C50" s="12">
        <v>83</v>
      </c>
      <c r="D50" s="8">
        <v>2.85</v>
      </c>
      <c r="E50" s="12">
        <v>72</v>
      </c>
      <c r="F50" s="8">
        <v>4.5199999999999996</v>
      </c>
      <c r="G50" s="12">
        <v>11</v>
      </c>
      <c r="H50" s="8">
        <v>0.84</v>
      </c>
      <c r="I50" s="12">
        <v>0</v>
      </c>
    </row>
    <row r="51" spans="2:9" ht="15" customHeight="1" x14ac:dyDescent="0.2">
      <c r="B51" t="s">
        <v>170</v>
      </c>
      <c r="C51" s="12">
        <v>82</v>
      </c>
      <c r="D51" s="8">
        <v>2.81</v>
      </c>
      <c r="E51" s="12">
        <v>78</v>
      </c>
      <c r="F51" s="8">
        <v>4.9000000000000004</v>
      </c>
      <c r="G51" s="12">
        <v>4</v>
      </c>
      <c r="H51" s="8">
        <v>0.31</v>
      </c>
      <c r="I51" s="12">
        <v>0</v>
      </c>
    </row>
    <row r="52" spans="2:9" ht="15" customHeight="1" x14ac:dyDescent="0.2">
      <c r="B52" t="s">
        <v>176</v>
      </c>
      <c r="C52" s="12">
        <v>81</v>
      </c>
      <c r="D52" s="8">
        <v>2.78</v>
      </c>
      <c r="E52" s="12">
        <v>61</v>
      </c>
      <c r="F52" s="8">
        <v>3.83</v>
      </c>
      <c r="G52" s="12">
        <v>20</v>
      </c>
      <c r="H52" s="8">
        <v>1.53</v>
      </c>
      <c r="I52" s="12">
        <v>0</v>
      </c>
    </row>
    <row r="53" spans="2:9" ht="15" customHeight="1" x14ac:dyDescent="0.2">
      <c r="B53" t="s">
        <v>157</v>
      </c>
      <c r="C53" s="12">
        <v>80</v>
      </c>
      <c r="D53" s="8">
        <v>2.74</v>
      </c>
      <c r="E53" s="12">
        <v>14</v>
      </c>
      <c r="F53" s="8">
        <v>0.88</v>
      </c>
      <c r="G53" s="12">
        <v>66</v>
      </c>
      <c r="H53" s="8">
        <v>5.05</v>
      </c>
      <c r="I53" s="12">
        <v>0</v>
      </c>
    </row>
    <row r="54" spans="2:9" ht="15" customHeight="1" x14ac:dyDescent="0.2">
      <c r="B54" t="s">
        <v>175</v>
      </c>
      <c r="C54" s="12">
        <v>74</v>
      </c>
      <c r="D54" s="8">
        <v>2.54</v>
      </c>
      <c r="E54" s="12">
        <v>70</v>
      </c>
      <c r="F54" s="8">
        <v>4.3899999999999997</v>
      </c>
      <c r="G54" s="12">
        <v>4</v>
      </c>
      <c r="H54" s="8">
        <v>0.31</v>
      </c>
      <c r="I54" s="12">
        <v>0</v>
      </c>
    </row>
    <row r="55" spans="2:9" ht="15" customHeight="1" x14ac:dyDescent="0.2">
      <c r="B55" t="s">
        <v>202</v>
      </c>
      <c r="C55" s="12">
        <v>66</v>
      </c>
      <c r="D55" s="8">
        <v>2.2599999999999998</v>
      </c>
      <c r="E55" s="12">
        <v>52</v>
      </c>
      <c r="F55" s="8">
        <v>3.26</v>
      </c>
      <c r="G55" s="12">
        <v>14</v>
      </c>
      <c r="H55" s="8">
        <v>1.07</v>
      </c>
      <c r="I55" s="12">
        <v>0</v>
      </c>
    </row>
    <row r="56" spans="2:9" ht="15" customHeight="1" x14ac:dyDescent="0.2">
      <c r="B56" t="s">
        <v>159</v>
      </c>
      <c r="C56" s="12">
        <v>64</v>
      </c>
      <c r="D56" s="8">
        <v>2.2000000000000002</v>
      </c>
      <c r="E56" s="12">
        <v>43</v>
      </c>
      <c r="F56" s="8">
        <v>2.7</v>
      </c>
      <c r="G56" s="12">
        <v>21</v>
      </c>
      <c r="H56" s="8">
        <v>1.61</v>
      </c>
      <c r="I56" s="12">
        <v>0</v>
      </c>
    </row>
    <row r="57" spans="2:9" ht="15" customHeight="1" x14ac:dyDescent="0.2">
      <c r="B57" t="s">
        <v>161</v>
      </c>
      <c r="C57" s="12">
        <v>58</v>
      </c>
      <c r="D57" s="8">
        <v>1.99</v>
      </c>
      <c r="E57" s="12">
        <v>26</v>
      </c>
      <c r="F57" s="8">
        <v>1.63</v>
      </c>
      <c r="G57" s="12">
        <v>32</v>
      </c>
      <c r="H57" s="8">
        <v>2.4500000000000002</v>
      </c>
      <c r="I57" s="12">
        <v>0</v>
      </c>
    </row>
    <row r="58" spans="2:9" ht="15" customHeight="1" x14ac:dyDescent="0.2">
      <c r="B58" t="s">
        <v>163</v>
      </c>
      <c r="C58" s="12">
        <v>56</v>
      </c>
      <c r="D58" s="8">
        <v>1.92</v>
      </c>
      <c r="E58" s="12">
        <v>25</v>
      </c>
      <c r="F58" s="8">
        <v>1.57</v>
      </c>
      <c r="G58" s="12">
        <v>31</v>
      </c>
      <c r="H58" s="8">
        <v>2.37</v>
      </c>
      <c r="I58" s="12">
        <v>0</v>
      </c>
    </row>
    <row r="59" spans="2:9" ht="15" customHeight="1" x14ac:dyDescent="0.2">
      <c r="B59" t="s">
        <v>174</v>
      </c>
      <c r="C59" s="12">
        <v>56</v>
      </c>
      <c r="D59" s="8">
        <v>1.92</v>
      </c>
      <c r="E59" s="12">
        <v>44</v>
      </c>
      <c r="F59" s="8">
        <v>2.76</v>
      </c>
      <c r="G59" s="12">
        <v>12</v>
      </c>
      <c r="H59" s="8">
        <v>0.92</v>
      </c>
      <c r="I59" s="12">
        <v>0</v>
      </c>
    </row>
    <row r="60" spans="2:9" ht="15" customHeight="1" x14ac:dyDescent="0.2">
      <c r="B60" t="s">
        <v>162</v>
      </c>
      <c r="C60" s="12">
        <v>53</v>
      </c>
      <c r="D60" s="8">
        <v>1.82</v>
      </c>
      <c r="E60" s="12">
        <v>37</v>
      </c>
      <c r="F60" s="8">
        <v>2.3199999999999998</v>
      </c>
      <c r="G60" s="12">
        <v>16</v>
      </c>
      <c r="H60" s="8">
        <v>1.23</v>
      </c>
      <c r="I60" s="12">
        <v>0</v>
      </c>
    </row>
    <row r="61" spans="2:9" ht="15" customHeight="1" x14ac:dyDescent="0.2">
      <c r="B61" t="s">
        <v>164</v>
      </c>
      <c r="C61" s="12">
        <v>53</v>
      </c>
      <c r="D61" s="8">
        <v>1.82</v>
      </c>
      <c r="E61" s="12">
        <v>33</v>
      </c>
      <c r="F61" s="8">
        <v>2.0699999999999998</v>
      </c>
      <c r="G61" s="12">
        <v>20</v>
      </c>
      <c r="H61" s="8">
        <v>1.53</v>
      </c>
      <c r="I61" s="12">
        <v>0</v>
      </c>
    </row>
    <row r="62" spans="2:9" ht="15" customHeight="1" x14ac:dyDescent="0.2">
      <c r="B62" t="s">
        <v>160</v>
      </c>
      <c r="C62" s="12">
        <v>52</v>
      </c>
      <c r="D62" s="8">
        <v>1.78</v>
      </c>
      <c r="E62" s="12">
        <v>22</v>
      </c>
      <c r="F62" s="8">
        <v>1.38</v>
      </c>
      <c r="G62" s="12">
        <v>30</v>
      </c>
      <c r="H62" s="8">
        <v>2.2999999999999998</v>
      </c>
      <c r="I62" s="12">
        <v>0</v>
      </c>
    </row>
    <row r="63" spans="2:9" ht="15" customHeight="1" x14ac:dyDescent="0.2">
      <c r="B63" t="s">
        <v>158</v>
      </c>
      <c r="C63" s="12">
        <v>49</v>
      </c>
      <c r="D63" s="8">
        <v>1.68</v>
      </c>
      <c r="E63" s="12">
        <v>13</v>
      </c>
      <c r="F63" s="8">
        <v>0.82</v>
      </c>
      <c r="G63" s="12">
        <v>36</v>
      </c>
      <c r="H63" s="8">
        <v>2.76</v>
      </c>
      <c r="I63" s="12">
        <v>0</v>
      </c>
    </row>
    <row r="64" spans="2:9" ht="15" customHeight="1" x14ac:dyDescent="0.2">
      <c r="B64" t="s">
        <v>185</v>
      </c>
      <c r="C64" s="12">
        <v>44</v>
      </c>
      <c r="D64" s="8">
        <v>1.51</v>
      </c>
      <c r="E64" s="12">
        <v>16</v>
      </c>
      <c r="F64" s="8">
        <v>1</v>
      </c>
      <c r="G64" s="12">
        <v>28</v>
      </c>
      <c r="H64" s="8">
        <v>2.14</v>
      </c>
      <c r="I64" s="12">
        <v>0</v>
      </c>
    </row>
    <row r="65" spans="2:9" ht="15" customHeight="1" x14ac:dyDescent="0.2">
      <c r="B65" t="s">
        <v>207</v>
      </c>
      <c r="C65" s="12">
        <v>40</v>
      </c>
      <c r="D65" s="8">
        <v>1.37</v>
      </c>
      <c r="E65" s="12">
        <v>21</v>
      </c>
      <c r="F65" s="8">
        <v>1.32</v>
      </c>
      <c r="G65" s="12">
        <v>19</v>
      </c>
      <c r="H65" s="8">
        <v>1.45</v>
      </c>
      <c r="I65" s="12">
        <v>0</v>
      </c>
    </row>
    <row r="66" spans="2:9" ht="15" customHeight="1" x14ac:dyDescent="0.2">
      <c r="B66" t="s">
        <v>179</v>
      </c>
      <c r="C66" s="12">
        <v>36</v>
      </c>
      <c r="D66" s="8">
        <v>1.23</v>
      </c>
      <c r="E66" s="12">
        <v>26</v>
      </c>
      <c r="F66" s="8">
        <v>1.63</v>
      </c>
      <c r="G66" s="12">
        <v>10</v>
      </c>
      <c r="H66" s="8">
        <v>0.77</v>
      </c>
      <c r="I66" s="12">
        <v>0</v>
      </c>
    </row>
    <row r="68" spans="2:9" ht="15" customHeight="1" x14ac:dyDescent="0.2">
      <c r="B68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3F628-738E-4D8F-ACFF-8BCEE2626EDE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299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505</v>
      </c>
      <c r="D6" s="8">
        <v>14.21</v>
      </c>
      <c r="E6" s="12">
        <v>95</v>
      </c>
      <c r="F6" s="8">
        <v>6.09</v>
      </c>
      <c r="G6" s="12">
        <v>410</v>
      </c>
      <c r="H6" s="8">
        <v>20.67</v>
      </c>
      <c r="I6" s="12">
        <v>0</v>
      </c>
    </row>
    <row r="7" spans="2:9" ht="15" customHeight="1" x14ac:dyDescent="0.2">
      <c r="B7" t="s">
        <v>76</v>
      </c>
      <c r="C7" s="12">
        <v>292</v>
      </c>
      <c r="D7" s="8">
        <v>8.2200000000000006</v>
      </c>
      <c r="E7" s="12">
        <v>64</v>
      </c>
      <c r="F7" s="8">
        <v>4.0999999999999996</v>
      </c>
      <c r="G7" s="12">
        <v>228</v>
      </c>
      <c r="H7" s="8">
        <v>11.49</v>
      </c>
      <c r="I7" s="12">
        <v>0</v>
      </c>
    </row>
    <row r="8" spans="2:9" ht="15" customHeight="1" x14ac:dyDescent="0.2">
      <c r="B8" t="s">
        <v>77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0.05</v>
      </c>
      <c r="I8" s="12">
        <v>0</v>
      </c>
    </row>
    <row r="9" spans="2:9" ht="15" customHeight="1" x14ac:dyDescent="0.2">
      <c r="B9" t="s">
        <v>78</v>
      </c>
      <c r="C9" s="12">
        <v>41</v>
      </c>
      <c r="D9" s="8">
        <v>1.1499999999999999</v>
      </c>
      <c r="E9" s="12">
        <v>3</v>
      </c>
      <c r="F9" s="8">
        <v>0.19</v>
      </c>
      <c r="G9" s="12">
        <v>38</v>
      </c>
      <c r="H9" s="8">
        <v>1.92</v>
      </c>
      <c r="I9" s="12">
        <v>0</v>
      </c>
    </row>
    <row r="10" spans="2:9" ht="15" customHeight="1" x14ac:dyDescent="0.2">
      <c r="B10" t="s">
        <v>79</v>
      </c>
      <c r="C10" s="12">
        <v>32</v>
      </c>
      <c r="D10" s="8">
        <v>0.9</v>
      </c>
      <c r="E10" s="12">
        <v>2</v>
      </c>
      <c r="F10" s="8">
        <v>0.13</v>
      </c>
      <c r="G10" s="12">
        <v>30</v>
      </c>
      <c r="H10" s="8">
        <v>1.51</v>
      </c>
      <c r="I10" s="12">
        <v>0</v>
      </c>
    </row>
    <row r="11" spans="2:9" ht="15" customHeight="1" x14ac:dyDescent="0.2">
      <c r="B11" t="s">
        <v>80</v>
      </c>
      <c r="C11" s="12">
        <v>607</v>
      </c>
      <c r="D11" s="8">
        <v>17.079999999999998</v>
      </c>
      <c r="E11" s="12">
        <v>194</v>
      </c>
      <c r="F11" s="8">
        <v>12.44</v>
      </c>
      <c r="G11" s="12">
        <v>413</v>
      </c>
      <c r="H11" s="8">
        <v>20.82</v>
      </c>
      <c r="I11" s="12">
        <v>0</v>
      </c>
    </row>
    <row r="12" spans="2:9" ht="15" customHeight="1" x14ac:dyDescent="0.2">
      <c r="B12" t="s">
        <v>81</v>
      </c>
      <c r="C12" s="12">
        <v>18</v>
      </c>
      <c r="D12" s="8">
        <v>0.51</v>
      </c>
      <c r="E12" s="12">
        <v>1</v>
      </c>
      <c r="F12" s="8">
        <v>0.06</v>
      </c>
      <c r="G12" s="12">
        <v>17</v>
      </c>
      <c r="H12" s="8">
        <v>0.86</v>
      </c>
      <c r="I12" s="12">
        <v>0</v>
      </c>
    </row>
    <row r="13" spans="2:9" ht="15" customHeight="1" x14ac:dyDescent="0.2">
      <c r="B13" t="s">
        <v>82</v>
      </c>
      <c r="C13" s="12">
        <v>461</v>
      </c>
      <c r="D13" s="8">
        <v>12.97</v>
      </c>
      <c r="E13" s="12">
        <v>137</v>
      </c>
      <c r="F13" s="8">
        <v>8.7799999999999994</v>
      </c>
      <c r="G13" s="12">
        <v>324</v>
      </c>
      <c r="H13" s="8">
        <v>16.329999999999998</v>
      </c>
      <c r="I13" s="12">
        <v>0</v>
      </c>
    </row>
    <row r="14" spans="2:9" ht="15" customHeight="1" x14ac:dyDescent="0.2">
      <c r="B14" t="s">
        <v>83</v>
      </c>
      <c r="C14" s="12">
        <v>204</v>
      </c>
      <c r="D14" s="8">
        <v>5.74</v>
      </c>
      <c r="E14" s="12">
        <v>97</v>
      </c>
      <c r="F14" s="8">
        <v>6.22</v>
      </c>
      <c r="G14" s="12">
        <v>107</v>
      </c>
      <c r="H14" s="8">
        <v>5.39</v>
      </c>
      <c r="I14" s="12">
        <v>0</v>
      </c>
    </row>
    <row r="15" spans="2:9" ht="15" customHeight="1" x14ac:dyDescent="0.2">
      <c r="B15" t="s">
        <v>84</v>
      </c>
      <c r="C15" s="12">
        <v>356</v>
      </c>
      <c r="D15" s="8">
        <v>10.02</v>
      </c>
      <c r="E15" s="12">
        <v>283</v>
      </c>
      <c r="F15" s="8">
        <v>18.14</v>
      </c>
      <c r="G15" s="12">
        <v>73</v>
      </c>
      <c r="H15" s="8">
        <v>3.68</v>
      </c>
      <c r="I15" s="12">
        <v>0</v>
      </c>
    </row>
    <row r="16" spans="2:9" ht="15" customHeight="1" x14ac:dyDescent="0.2">
      <c r="B16" t="s">
        <v>85</v>
      </c>
      <c r="C16" s="12">
        <v>467</v>
      </c>
      <c r="D16" s="8">
        <v>13.14</v>
      </c>
      <c r="E16" s="12">
        <v>336</v>
      </c>
      <c r="F16" s="8">
        <v>21.54</v>
      </c>
      <c r="G16" s="12">
        <v>131</v>
      </c>
      <c r="H16" s="8">
        <v>6.6</v>
      </c>
      <c r="I16" s="12">
        <v>0</v>
      </c>
    </row>
    <row r="17" spans="2:9" ht="15" customHeight="1" x14ac:dyDescent="0.2">
      <c r="B17" t="s">
        <v>86</v>
      </c>
      <c r="C17" s="12">
        <v>217</v>
      </c>
      <c r="D17" s="8">
        <v>6.11</v>
      </c>
      <c r="E17" s="12">
        <v>168</v>
      </c>
      <c r="F17" s="8">
        <v>10.77</v>
      </c>
      <c r="G17" s="12">
        <v>43</v>
      </c>
      <c r="H17" s="8">
        <v>2.17</v>
      </c>
      <c r="I17" s="12">
        <v>0</v>
      </c>
    </row>
    <row r="18" spans="2:9" ht="15" customHeight="1" x14ac:dyDescent="0.2">
      <c r="B18" t="s">
        <v>87</v>
      </c>
      <c r="C18" s="12">
        <v>202</v>
      </c>
      <c r="D18" s="8">
        <v>5.69</v>
      </c>
      <c r="E18" s="12">
        <v>139</v>
      </c>
      <c r="F18" s="8">
        <v>8.91</v>
      </c>
      <c r="G18" s="12">
        <v>63</v>
      </c>
      <c r="H18" s="8">
        <v>3.18</v>
      </c>
      <c r="I18" s="12">
        <v>0</v>
      </c>
    </row>
    <row r="19" spans="2:9" ht="15" customHeight="1" x14ac:dyDescent="0.2">
      <c r="B19" t="s">
        <v>88</v>
      </c>
      <c r="C19" s="12">
        <v>150</v>
      </c>
      <c r="D19" s="8">
        <v>4.22</v>
      </c>
      <c r="E19" s="12">
        <v>41</v>
      </c>
      <c r="F19" s="8">
        <v>2.63</v>
      </c>
      <c r="G19" s="12">
        <v>106</v>
      </c>
      <c r="H19" s="8">
        <v>5.34</v>
      </c>
      <c r="I19" s="12">
        <v>0</v>
      </c>
    </row>
    <row r="20" spans="2:9" ht="15" customHeight="1" x14ac:dyDescent="0.2">
      <c r="B20" s="9" t="s">
        <v>269</v>
      </c>
      <c r="C20" s="12">
        <f>SUM(LTBL_11219[総数／事業所数])</f>
        <v>3553</v>
      </c>
      <c r="E20" s="12">
        <f>SUBTOTAL(109,LTBL_11219[個人／事業所数])</f>
        <v>1560</v>
      </c>
      <c r="G20" s="12">
        <f>SUBTOTAL(109,LTBL_11219[法人／事業所数])</f>
        <v>1984</v>
      </c>
      <c r="I20" s="12">
        <f>SUBTOTAL(109,LTBL_11219[法人以外の団体／事業所数])</f>
        <v>0</v>
      </c>
    </row>
    <row r="21" spans="2:9" ht="15" customHeight="1" x14ac:dyDescent="0.2">
      <c r="E21" s="11">
        <f>LTBL_11219[[#Totals],[個人／事業所数]]/LTBL_11219[[#Totals],[総数／事業所数]]</f>
        <v>0.43906557838446381</v>
      </c>
      <c r="G21" s="11">
        <f>LTBL_11219[[#Totals],[法人／事業所数]]/LTBL_11219[[#Totals],[総数／事業所数]]</f>
        <v>0.5584013509710104</v>
      </c>
      <c r="I21" s="11">
        <f>LTBL_11219[[#Totals],[法人以外の団体／事業所数]]/LTBL_11219[[#Totals],[総数／事業所数]]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108</v>
      </c>
      <c r="C24" s="12">
        <v>379</v>
      </c>
      <c r="D24" s="8">
        <v>10.67</v>
      </c>
      <c r="E24" s="12">
        <v>133</v>
      </c>
      <c r="F24" s="8">
        <v>8.5299999999999994</v>
      </c>
      <c r="G24" s="12">
        <v>246</v>
      </c>
      <c r="H24" s="8">
        <v>12.4</v>
      </c>
      <c r="I24" s="12">
        <v>0</v>
      </c>
    </row>
    <row r="25" spans="2:9" ht="15" customHeight="1" x14ac:dyDescent="0.2">
      <c r="B25" t="s">
        <v>112</v>
      </c>
      <c r="C25" s="12">
        <v>375</v>
      </c>
      <c r="D25" s="8">
        <v>10.55</v>
      </c>
      <c r="E25" s="12">
        <v>296</v>
      </c>
      <c r="F25" s="8">
        <v>18.97</v>
      </c>
      <c r="G25" s="12">
        <v>79</v>
      </c>
      <c r="H25" s="8">
        <v>3.98</v>
      </c>
      <c r="I25" s="12">
        <v>0</v>
      </c>
    </row>
    <row r="26" spans="2:9" ht="15" customHeight="1" x14ac:dyDescent="0.2">
      <c r="B26" t="s">
        <v>111</v>
      </c>
      <c r="C26" s="12">
        <v>325</v>
      </c>
      <c r="D26" s="8">
        <v>9.15</v>
      </c>
      <c r="E26" s="12">
        <v>274</v>
      </c>
      <c r="F26" s="8">
        <v>17.559999999999999</v>
      </c>
      <c r="G26" s="12">
        <v>51</v>
      </c>
      <c r="H26" s="8">
        <v>2.57</v>
      </c>
      <c r="I26" s="12">
        <v>0</v>
      </c>
    </row>
    <row r="27" spans="2:9" ht="15" customHeight="1" x14ac:dyDescent="0.2">
      <c r="B27" t="s">
        <v>114</v>
      </c>
      <c r="C27" s="12">
        <v>217</v>
      </c>
      <c r="D27" s="8">
        <v>6.11</v>
      </c>
      <c r="E27" s="12">
        <v>168</v>
      </c>
      <c r="F27" s="8">
        <v>10.77</v>
      </c>
      <c r="G27" s="12">
        <v>43</v>
      </c>
      <c r="H27" s="8">
        <v>2.17</v>
      </c>
      <c r="I27" s="12">
        <v>0</v>
      </c>
    </row>
    <row r="28" spans="2:9" ht="15" customHeight="1" x14ac:dyDescent="0.2">
      <c r="B28" t="s">
        <v>98</v>
      </c>
      <c r="C28" s="12">
        <v>189</v>
      </c>
      <c r="D28" s="8">
        <v>5.32</v>
      </c>
      <c r="E28" s="12">
        <v>52</v>
      </c>
      <c r="F28" s="8">
        <v>3.33</v>
      </c>
      <c r="G28" s="12">
        <v>137</v>
      </c>
      <c r="H28" s="8">
        <v>6.91</v>
      </c>
      <c r="I28" s="12">
        <v>0</v>
      </c>
    </row>
    <row r="29" spans="2:9" ht="15" customHeight="1" x14ac:dyDescent="0.2">
      <c r="B29" t="s">
        <v>106</v>
      </c>
      <c r="C29" s="12">
        <v>178</v>
      </c>
      <c r="D29" s="8">
        <v>5.01</v>
      </c>
      <c r="E29" s="12">
        <v>64</v>
      </c>
      <c r="F29" s="8">
        <v>4.0999999999999996</v>
      </c>
      <c r="G29" s="12">
        <v>114</v>
      </c>
      <c r="H29" s="8">
        <v>5.75</v>
      </c>
      <c r="I29" s="12">
        <v>0</v>
      </c>
    </row>
    <row r="30" spans="2:9" ht="15" customHeight="1" x14ac:dyDescent="0.2">
      <c r="B30" t="s">
        <v>97</v>
      </c>
      <c r="C30" s="12">
        <v>164</v>
      </c>
      <c r="D30" s="8">
        <v>4.62</v>
      </c>
      <c r="E30" s="12">
        <v>24</v>
      </c>
      <c r="F30" s="8">
        <v>1.54</v>
      </c>
      <c r="G30" s="12">
        <v>140</v>
      </c>
      <c r="H30" s="8">
        <v>7.06</v>
      </c>
      <c r="I30" s="12">
        <v>0</v>
      </c>
    </row>
    <row r="31" spans="2:9" ht="15" customHeight="1" x14ac:dyDescent="0.2">
      <c r="B31" t="s">
        <v>115</v>
      </c>
      <c r="C31" s="12">
        <v>157</v>
      </c>
      <c r="D31" s="8">
        <v>4.42</v>
      </c>
      <c r="E31" s="12">
        <v>139</v>
      </c>
      <c r="F31" s="8">
        <v>8.91</v>
      </c>
      <c r="G31" s="12">
        <v>18</v>
      </c>
      <c r="H31" s="8">
        <v>0.91</v>
      </c>
      <c r="I31" s="12">
        <v>0</v>
      </c>
    </row>
    <row r="32" spans="2:9" ht="15" customHeight="1" x14ac:dyDescent="0.2">
      <c r="B32" t="s">
        <v>99</v>
      </c>
      <c r="C32" s="12">
        <v>152</v>
      </c>
      <c r="D32" s="8">
        <v>4.28</v>
      </c>
      <c r="E32" s="12">
        <v>19</v>
      </c>
      <c r="F32" s="8">
        <v>1.22</v>
      </c>
      <c r="G32" s="12">
        <v>133</v>
      </c>
      <c r="H32" s="8">
        <v>6.7</v>
      </c>
      <c r="I32" s="12">
        <v>0</v>
      </c>
    </row>
    <row r="33" spans="2:9" ht="15" customHeight="1" x14ac:dyDescent="0.2">
      <c r="B33" t="s">
        <v>109</v>
      </c>
      <c r="C33" s="12">
        <v>115</v>
      </c>
      <c r="D33" s="8">
        <v>3.24</v>
      </c>
      <c r="E33" s="12">
        <v>70</v>
      </c>
      <c r="F33" s="8">
        <v>4.49</v>
      </c>
      <c r="G33" s="12">
        <v>45</v>
      </c>
      <c r="H33" s="8">
        <v>2.27</v>
      </c>
      <c r="I33" s="12">
        <v>0</v>
      </c>
    </row>
    <row r="34" spans="2:9" ht="15" customHeight="1" x14ac:dyDescent="0.2">
      <c r="B34" t="s">
        <v>104</v>
      </c>
      <c r="C34" s="12">
        <v>103</v>
      </c>
      <c r="D34" s="8">
        <v>2.9</v>
      </c>
      <c r="E34" s="12">
        <v>59</v>
      </c>
      <c r="F34" s="8">
        <v>3.78</v>
      </c>
      <c r="G34" s="12">
        <v>44</v>
      </c>
      <c r="H34" s="8">
        <v>2.2200000000000002</v>
      </c>
      <c r="I34" s="12">
        <v>0</v>
      </c>
    </row>
    <row r="35" spans="2:9" ht="15" customHeight="1" x14ac:dyDescent="0.2">
      <c r="B35" t="s">
        <v>105</v>
      </c>
      <c r="C35" s="12">
        <v>96</v>
      </c>
      <c r="D35" s="8">
        <v>2.7</v>
      </c>
      <c r="E35" s="12">
        <v>34</v>
      </c>
      <c r="F35" s="8">
        <v>2.1800000000000002</v>
      </c>
      <c r="G35" s="12">
        <v>62</v>
      </c>
      <c r="H35" s="8">
        <v>3.13</v>
      </c>
      <c r="I35" s="12">
        <v>0</v>
      </c>
    </row>
    <row r="36" spans="2:9" ht="15" customHeight="1" x14ac:dyDescent="0.2">
      <c r="B36" t="s">
        <v>110</v>
      </c>
      <c r="C36" s="12">
        <v>80</v>
      </c>
      <c r="D36" s="8">
        <v>2.25</v>
      </c>
      <c r="E36" s="12">
        <v>27</v>
      </c>
      <c r="F36" s="8">
        <v>1.73</v>
      </c>
      <c r="G36" s="12">
        <v>53</v>
      </c>
      <c r="H36" s="8">
        <v>2.67</v>
      </c>
      <c r="I36" s="12">
        <v>0</v>
      </c>
    </row>
    <row r="37" spans="2:9" ht="15" customHeight="1" x14ac:dyDescent="0.2">
      <c r="B37" t="s">
        <v>107</v>
      </c>
      <c r="C37" s="12">
        <v>72</v>
      </c>
      <c r="D37" s="8">
        <v>2.0299999999999998</v>
      </c>
      <c r="E37" s="12">
        <v>4</v>
      </c>
      <c r="F37" s="8">
        <v>0.26</v>
      </c>
      <c r="G37" s="12">
        <v>68</v>
      </c>
      <c r="H37" s="8">
        <v>3.43</v>
      </c>
      <c r="I37" s="12">
        <v>0</v>
      </c>
    </row>
    <row r="38" spans="2:9" ht="15" customHeight="1" x14ac:dyDescent="0.2">
      <c r="B38" t="s">
        <v>113</v>
      </c>
      <c r="C38" s="12">
        <v>60</v>
      </c>
      <c r="D38" s="8">
        <v>1.69</v>
      </c>
      <c r="E38" s="12">
        <v>28</v>
      </c>
      <c r="F38" s="8">
        <v>1.79</v>
      </c>
      <c r="G38" s="12">
        <v>32</v>
      </c>
      <c r="H38" s="8">
        <v>1.61</v>
      </c>
      <c r="I38" s="12">
        <v>0</v>
      </c>
    </row>
    <row r="39" spans="2:9" ht="15" customHeight="1" x14ac:dyDescent="0.2">
      <c r="B39" t="s">
        <v>119</v>
      </c>
      <c r="C39" s="12">
        <v>56</v>
      </c>
      <c r="D39" s="8">
        <v>1.58</v>
      </c>
      <c r="E39" s="12">
        <v>6</v>
      </c>
      <c r="F39" s="8">
        <v>0.38</v>
      </c>
      <c r="G39" s="12">
        <v>49</v>
      </c>
      <c r="H39" s="8">
        <v>2.4700000000000002</v>
      </c>
      <c r="I39" s="12">
        <v>0</v>
      </c>
    </row>
    <row r="40" spans="2:9" ht="15" customHeight="1" x14ac:dyDescent="0.2">
      <c r="B40" t="s">
        <v>103</v>
      </c>
      <c r="C40" s="12">
        <v>54</v>
      </c>
      <c r="D40" s="8">
        <v>1.52</v>
      </c>
      <c r="E40" s="12">
        <v>19</v>
      </c>
      <c r="F40" s="8">
        <v>1.22</v>
      </c>
      <c r="G40" s="12">
        <v>35</v>
      </c>
      <c r="H40" s="8">
        <v>1.76</v>
      </c>
      <c r="I40" s="12">
        <v>0</v>
      </c>
    </row>
    <row r="41" spans="2:9" ht="15" customHeight="1" x14ac:dyDescent="0.2">
      <c r="B41" t="s">
        <v>116</v>
      </c>
      <c r="C41" s="12">
        <v>50</v>
      </c>
      <c r="D41" s="8">
        <v>1.41</v>
      </c>
      <c r="E41" s="12">
        <v>27</v>
      </c>
      <c r="F41" s="8">
        <v>1.73</v>
      </c>
      <c r="G41" s="12">
        <v>23</v>
      </c>
      <c r="H41" s="8">
        <v>1.1599999999999999</v>
      </c>
      <c r="I41" s="12">
        <v>0</v>
      </c>
    </row>
    <row r="42" spans="2:9" ht="15" customHeight="1" x14ac:dyDescent="0.2">
      <c r="B42" t="s">
        <v>102</v>
      </c>
      <c r="C42" s="12">
        <v>46</v>
      </c>
      <c r="D42" s="8">
        <v>1.29</v>
      </c>
      <c r="E42" s="12">
        <v>3</v>
      </c>
      <c r="F42" s="8">
        <v>0.19</v>
      </c>
      <c r="G42" s="12">
        <v>43</v>
      </c>
      <c r="H42" s="8">
        <v>2.17</v>
      </c>
      <c r="I42" s="12">
        <v>0</v>
      </c>
    </row>
    <row r="43" spans="2:9" ht="15" customHeight="1" x14ac:dyDescent="0.2">
      <c r="B43" t="s">
        <v>118</v>
      </c>
      <c r="C43" s="12">
        <v>45</v>
      </c>
      <c r="D43" s="8">
        <v>1.27</v>
      </c>
      <c r="E43" s="12">
        <v>0</v>
      </c>
      <c r="F43" s="8">
        <v>0</v>
      </c>
      <c r="G43" s="12">
        <v>45</v>
      </c>
      <c r="H43" s="8">
        <v>2.27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173</v>
      </c>
      <c r="C47" s="12">
        <v>202</v>
      </c>
      <c r="D47" s="8">
        <v>5.69</v>
      </c>
      <c r="E47" s="12">
        <v>162</v>
      </c>
      <c r="F47" s="8">
        <v>10.38</v>
      </c>
      <c r="G47" s="12">
        <v>40</v>
      </c>
      <c r="H47" s="8">
        <v>2.02</v>
      </c>
      <c r="I47" s="12">
        <v>0</v>
      </c>
    </row>
    <row r="48" spans="2:9" ht="15" customHeight="1" x14ac:dyDescent="0.2">
      <c r="B48" t="s">
        <v>167</v>
      </c>
      <c r="C48" s="12">
        <v>173</v>
      </c>
      <c r="D48" s="8">
        <v>4.87</v>
      </c>
      <c r="E48" s="12">
        <v>77</v>
      </c>
      <c r="F48" s="8">
        <v>4.9400000000000004</v>
      </c>
      <c r="G48" s="12">
        <v>96</v>
      </c>
      <c r="H48" s="8">
        <v>4.84</v>
      </c>
      <c r="I48" s="12">
        <v>0</v>
      </c>
    </row>
    <row r="49" spans="2:9" ht="15" customHeight="1" x14ac:dyDescent="0.2">
      <c r="B49" t="s">
        <v>174</v>
      </c>
      <c r="C49" s="12">
        <v>147</v>
      </c>
      <c r="D49" s="8">
        <v>4.1399999999999997</v>
      </c>
      <c r="E49" s="12">
        <v>127</v>
      </c>
      <c r="F49" s="8">
        <v>8.14</v>
      </c>
      <c r="G49" s="12">
        <v>20</v>
      </c>
      <c r="H49" s="8">
        <v>1.01</v>
      </c>
      <c r="I49" s="12">
        <v>0</v>
      </c>
    </row>
    <row r="50" spans="2:9" ht="15" customHeight="1" x14ac:dyDescent="0.2">
      <c r="B50" t="s">
        <v>175</v>
      </c>
      <c r="C50" s="12">
        <v>122</v>
      </c>
      <c r="D50" s="8">
        <v>3.43</v>
      </c>
      <c r="E50" s="12">
        <v>110</v>
      </c>
      <c r="F50" s="8">
        <v>7.05</v>
      </c>
      <c r="G50" s="12">
        <v>12</v>
      </c>
      <c r="H50" s="8">
        <v>0.6</v>
      </c>
      <c r="I50" s="12">
        <v>0</v>
      </c>
    </row>
    <row r="51" spans="2:9" ht="15" customHeight="1" x14ac:dyDescent="0.2">
      <c r="B51" t="s">
        <v>172</v>
      </c>
      <c r="C51" s="12">
        <v>120</v>
      </c>
      <c r="D51" s="8">
        <v>3.38</v>
      </c>
      <c r="E51" s="12">
        <v>108</v>
      </c>
      <c r="F51" s="8">
        <v>6.92</v>
      </c>
      <c r="G51" s="12">
        <v>12</v>
      </c>
      <c r="H51" s="8">
        <v>0.6</v>
      </c>
      <c r="I51" s="12">
        <v>0</v>
      </c>
    </row>
    <row r="52" spans="2:9" ht="15" customHeight="1" x14ac:dyDescent="0.2">
      <c r="B52" t="s">
        <v>170</v>
      </c>
      <c r="C52" s="12">
        <v>112</v>
      </c>
      <c r="D52" s="8">
        <v>3.15</v>
      </c>
      <c r="E52" s="12">
        <v>103</v>
      </c>
      <c r="F52" s="8">
        <v>6.6</v>
      </c>
      <c r="G52" s="12">
        <v>9</v>
      </c>
      <c r="H52" s="8">
        <v>0.45</v>
      </c>
      <c r="I52" s="12">
        <v>0</v>
      </c>
    </row>
    <row r="53" spans="2:9" ht="15" customHeight="1" x14ac:dyDescent="0.2">
      <c r="B53" t="s">
        <v>166</v>
      </c>
      <c r="C53" s="12">
        <v>97</v>
      </c>
      <c r="D53" s="8">
        <v>2.73</v>
      </c>
      <c r="E53" s="12">
        <v>10</v>
      </c>
      <c r="F53" s="8">
        <v>0.64</v>
      </c>
      <c r="G53" s="12">
        <v>87</v>
      </c>
      <c r="H53" s="8">
        <v>4.3899999999999997</v>
      </c>
      <c r="I53" s="12">
        <v>0</v>
      </c>
    </row>
    <row r="54" spans="2:9" ht="15" customHeight="1" x14ac:dyDescent="0.2">
      <c r="B54" t="s">
        <v>169</v>
      </c>
      <c r="C54" s="12">
        <v>91</v>
      </c>
      <c r="D54" s="8">
        <v>2.56</v>
      </c>
      <c r="E54" s="12">
        <v>72</v>
      </c>
      <c r="F54" s="8">
        <v>4.62</v>
      </c>
      <c r="G54" s="12">
        <v>19</v>
      </c>
      <c r="H54" s="8">
        <v>0.96</v>
      </c>
      <c r="I54" s="12">
        <v>0</v>
      </c>
    </row>
    <row r="55" spans="2:9" ht="15" customHeight="1" x14ac:dyDescent="0.2">
      <c r="B55" t="s">
        <v>161</v>
      </c>
      <c r="C55" s="12">
        <v>80</v>
      </c>
      <c r="D55" s="8">
        <v>2.25</v>
      </c>
      <c r="E55" s="12">
        <v>7</v>
      </c>
      <c r="F55" s="8">
        <v>0.45</v>
      </c>
      <c r="G55" s="12">
        <v>73</v>
      </c>
      <c r="H55" s="8">
        <v>3.68</v>
      </c>
      <c r="I55" s="12">
        <v>0</v>
      </c>
    </row>
    <row r="56" spans="2:9" ht="15" customHeight="1" x14ac:dyDescent="0.2">
      <c r="B56" t="s">
        <v>168</v>
      </c>
      <c r="C56" s="12">
        <v>61</v>
      </c>
      <c r="D56" s="8">
        <v>1.72</v>
      </c>
      <c r="E56" s="12">
        <v>7</v>
      </c>
      <c r="F56" s="8">
        <v>0.45</v>
      </c>
      <c r="G56" s="12">
        <v>54</v>
      </c>
      <c r="H56" s="8">
        <v>2.72</v>
      </c>
      <c r="I56" s="12">
        <v>0</v>
      </c>
    </row>
    <row r="57" spans="2:9" ht="15" customHeight="1" x14ac:dyDescent="0.2">
      <c r="B57" t="s">
        <v>179</v>
      </c>
      <c r="C57" s="12">
        <v>56</v>
      </c>
      <c r="D57" s="8">
        <v>1.58</v>
      </c>
      <c r="E57" s="12">
        <v>39</v>
      </c>
      <c r="F57" s="8">
        <v>2.5</v>
      </c>
      <c r="G57" s="12">
        <v>17</v>
      </c>
      <c r="H57" s="8">
        <v>0.86</v>
      </c>
      <c r="I57" s="12">
        <v>0</v>
      </c>
    </row>
    <row r="58" spans="2:9" ht="15" customHeight="1" x14ac:dyDescent="0.2">
      <c r="B58" t="s">
        <v>160</v>
      </c>
      <c r="C58" s="12">
        <v>55</v>
      </c>
      <c r="D58" s="8">
        <v>1.55</v>
      </c>
      <c r="E58" s="12">
        <v>10</v>
      </c>
      <c r="F58" s="8">
        <v>0.64</v>
      </c>
      <c r="G58" s="12">
        <v>45</v>
      </c>
      <c r="H58" s="8">
        <v>2.27</v>
      </c>
      <c r="I58" s="12">
        <v>0</v>
      </c>
    </row>
    <row r="59" spans="2:9" ht="15" customHeight="1" x14ac:dyDescent="0.2">
      <c r="B59" t="s">
        <v>165</v>
      </c>
      <c r="C59" s="12">
        <v>52</v>
      </c>
      <c r="D59" s="8">
        <v>1.46</v>
      </c>
      <c r="E59" s="12">
        <v>4</v>
      </c>
      <c r="F59" s="8">
        <v>0.26</v>
      </c>
      <c r="G59" s="12">
        <v>48</v>
      </c>
      <c r="H59" s="8">
        <v>2.42</v>
      </c>
      <c r="I59" s="12">
        <v>0</v>
      </c>
    </row>
    <row r="60" spans="2:9" ht="15" customHeight="1" x14ac:dyDescent="0.2">
      <c r="B60" t="s">
        <v>164</v>
      </c>
      <c r="C60" s="12">
        <v>49</v>
      </c>
      <c r="D60" s="8">
        <v>1.38</v>
      </c>
      <c r="E60" s="12">
        <v>26</v>
      </c>
      <c r="F60" s="8">
        <v>1.67</v>
      </c>
      <c r="G60" s="12">
        <v>23</v>
      </c>
      <c r="H60" s="8">
        <v>1.1599999999999999</v>
      </c>
      <c r="I60" s="12">
        <v>0</v>
      </c>
    </row>
    <row r="61" spans="2:9" ht="15" customHeight="1" x14ac:dyDescent="0.2">
      <c r="B61" t="s">
        <v>176</v>
      </c>
      <c r="C61" s="12">
        <v>49</v>
      </c>
      <c r="D61" s="8">
        <v>1.38</v>
      </c>
      <c r="E61" s="12">
        <v>27</v>
      </c>
      <c r="F61" s="8">
        <v>1.73</v>
      </c>
      <c r="G61" s="12">
        <v>22</v>
      </c>
      <c r="H61" s="8">
        <v>1.1100000000000001</v>
      </c>
      <c r="I61" s="12">
        <v>0</v>
      </c>
    </row>
    <row r="62" spans="2:9" ht="15" customHeight="1" x14ac:dyDescent="0.2">
      <c r="B62" t="s">
        <v>163</v>
      </c>
      <c r="C62" s="12">
        <v>48</v>
      </c>
      <c r="D62" s="8">
        <v>1.35</v>
      </c>
      <c r="E62" s="12">
        <v>16</v>
      </c>
      <c r="F62" s="8">
        <v>1.03</v>
      </c>
      <c r="G62" s="12">
        <v>32</v>
      </c>
      <c r="H62" s="8">
        <v>1.61</v>
      </c>
      <c r="I62" s="12">
        <v>0</v>
      </c>
    </row>
    <row r="63" spans="2:9" ht="15" customHeight="1" x14ac:dyDescent="0.2">
      <c r="B63" t="s">
        <v>189</v>
      </c>
      <c r="C63" s="12">
        <v>48</v>
      </c>
      <c r="D63" s="8">
        <v>1.35</v>
      </c>
      <c r="E63" s="12">
        <v>39</v>
      </c>
      <c r="F63" s="8">
        <v>2.5</v>
      </c>
      <c r="G63" s="12">
        <v>9</v>
      </c>
      <c r="H63" s="8">
        <v>0.45</v>
      </c>
      <c r="I63" s="12">
        <v>0</v>
      </c>
    </row>
    <row r="64" spans="2:9" ht="15" customHeight="1" x14ac:dyDescent="0.2">
      <c r="B64" t="s">
        <v>178</v>
      </c>
      <c r="C64" s="12">
        <v>45</v>
      </c>
      <c r="D64" s="8">
        <v>1.27</v>
      </c>
      <c r="E64" s="12">
        <v>12</v>
      </c>
      <c r="F64" s="8">
        <v>0.77</v>
      </c>
      <c r="G64" s="12">
        <v>33</v>
      </c>
      <c r="H64" s="8">
        <v>1.66</v>
      </c>
      <c r="I64" s="12">
        <v>0</v>
      </c>
    </row>
    <row r="65" spans="2:9" ht="15" customHeight="1" x14ac:dyDescent="0.2">
      <c r="B65" t="s">
        <v>158</v>
      </c>
      <c r="C65" s="12">
        <v>41</v>
      </c>
      <c r="D65" s="8">
        <v>1.1499999999999999</v>
      </c>
      <c r="E65" s="12">
        <v>6</v>
      </c>
      <c r="F65" s="8">
        <v>0.38</v>
      </c>
      <c r="G65" s="12">
        <v>35</v>
      </c>
      <c r="H65" s="8">
        <v>1.76</v>
      </c>
      <c r="I65" s="12">
        <v>0</v>
      </c>
    </row>
    <row r="66" spans="2:9" ht="15" customHeight="1" x14ac:dyDescent="0.2">
      <c r="B66" t="s">
        <v>185</v>
      </c>
      <c r="C66" s="12">
        <v>40</v>
      </c>
      <c r="D66" s="8">
        <v>1.1299999999999999</v>
      </c>
      <c r="E66" s="12">
        <v>6</v>
      </c>
      <c r="F66" s="8">
        <v>0.38</v>
      </c>
      <c r="G66" s="12">
        <v>34</v>
      </c>
      <c r="H66" s="8">
        <v>1.71</v>
      </c>
      <c r="I66" s="12">
        <v>0</v>
      </c>
    </row>
    <row r="68" spans="2:9" ht="15" customHeight="1" x14ac:dyDescent="0.2">
      <c r="B68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5F720-7F09-4BFD-B4A2-1948B419CF1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300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657</v>
      </c>
      <c r="D6" s="8">
        <v>15.44</v>
      </c>
      <c r="E6" s="12">
        <v>81</v>
      </c>
      <c r="F6" s="8">
        <v>5.0599999999999996</v>
      </c>
      <c r="G6" s="12">
        <v>575</v>
      </c>
      <c r="H6" s="8">
        <v>21.8</v>
      </c>
      <c r="I6" s="12">
        <v>1</v>
      </c>
    </row>
    <row r="7" spans="2:9" ht="15" customHeight="1" x14ac:dyDescent="0.2">
      <c r="B7" t="s">
        <v>76</v>
      </c>
      <c r="C7" s="12">
        <v>714</v>
      </c>
      <c r="D7" s="8">
        <v>16.78</v>
      </c>
      <c r="E7" s="12">
        <v>199</v>
      </c>
      <c r="F7" s="8">
        <v>12.43</v>
      </c>
      <c r="G7" s="12">
        <v>515</v>
      </c>
      <c r="H7" s="8">
        <v>19.52</v>
      </c>
      <c r="I7" s="12">
        <v>0</v>
      </c>
    </row>
    <row r="8" spans="2:9" ht="15" customHeight="1" x14ac:dyDescent="0.2">
      <c r="B8" t="s">
        <v>77</v>
      </c>
      <c r="C8" s="12">
        <v>1</v>
      </c>
      <c r="D8" s="8">
        <v>0.02</v>
      </c>
      <c r="E8" s="12">
        <v>0</v>
      </c>
      <c r="F8" s="8">
        <v>0</v>
      </c>
      <c r="G8" s="12">
        <v>1</v>
      </c>
      <c r="H8" s="8">
        <v>0.04</v>
      </c>
      <c r="I8" s="12">
        <v>0</v>
      </c>
    </row>
    <row r="9" spans="2:9" ht="15" customHeight="1" x14ac:dyDescent="0.2">
      <c r="B9" t="s">
        <v>78</v>
      </c>
      <c r="C9" s="12">
        <v>45</v>
      </c>
      <c r="D9" s="8">
        <v>1.06</v>
      </c>
      <c r="E9" s="12">
        <v>0</v>
      </c>
      <c r="F9" s="8">
        <v>0</v>
      </c>
      <c r="G9" s="12">
        <v>45</v>
      </c>
      <c r="H9" s="8">
        <v>1.71</v>
      </c>
      <c r="I9" s="12">
        <v>0</v>
      </c>
    </row>
    <row r="10" spans="2:9" ht="15" customHeight="1" x14ac:dyDescent="0.2">
      <c r="B10" t="s">
        <v>79</v>
      </c>
      <c r="C10" s="12">
        <v>52</v>
      </c>
      <c r="D10" s="8">
        <v>1.22</v>
      </c>
      <c r="E10" s="12">
        <v>4</v>
      </c>
      <c r="F10" s="8">
        <v>0.25</v>
      </c>
      <c r="G10" s="12">
        <v>48</v>
      </c>
      <c r="H10" s="8">
        <v>1.82</v>
      </c>
      <c r="I10" s="12">
        <v>0</v>
      </c>
    </row>
    <row r="11" spans="2:9" ht="15" customHeight="1" x14ac:dyDescent="0.2">
      <c r="B11" t="s">
        <v>80</v>
      </c>
      <c r="C11" s="12">
        <v>746</v>
      </c>
      <c r="D11" s="8">
        <v>17.54</v>
      </c>
      <c r="E11" s="12">
        <v>249</v>
      </c>
      <c r="F11" s="8">
        <v>15.55</v>
      </c>
      <c r="G11" s="12">
        <v>497</v>
      </c>
      <c r="H11" s="8">
        <v>18.84</v>
      </c>
      <c r="I11" s="12">
        <v>0</v>
      </c>
    </row>
    <row r="12" spans="2:9" ht="15" customHeight="1" x14ac:dyDescent="0.2">
      <c r="B12" t="s">
        <v>81</v>
      </c>
      <c r="C12" s="12">
        <v>25</v>
      </c>
      <c r="D12" s="8">
        <v>0.59</v>
      </c>
      <c r="E12" s="12">
        <v>5</v>
      </c>
      <c r="F12" s="8">
        <v>0.31</v>
      </c>
      <c r="G12" s="12">
        <v>20</v>
      </c>
      <c r="H12" s="8">
        <v>0.76</v>
      </c>
      <c r="I12" s="12">
        <v>0</v>
      </c>
    </row>
    <row r="13" spans="2:9" ht="15" customHeight="1" x14ac:dyDescent="0.2">
      <c r="B13" t="s">
        <v>82</v>
      </c>
      <c r="C13" s="12">
        <v>444</v>
      </c>
      <c r="D13" s="8">
        <v>10.44</v>
      </c>
      <c r="E13" s="12">
        <v>91</v>
      </c>
      <c r="F13" s="8">
        <v>5.68</v>
      </c>
      <c r="G13" s="12">
        <v>351</v>
      </c>
      <c r="H13" s="8">
        <v>13.31</v>
      </c>
      <c r="I13" s="12">
        <v>2</v>
      </c>
    </row>
    <row r="14" spans="2:9" ht="15" customHeight="1" x14ac:dyDescent="0.2">
      <c r="B14" t="s">
        <v>83</v>
      </c>
      <c r="C14" s="12">
        <v>181</v>
      </c>
      <c r="D14" s="8">
        <v>4.25</v>
      </c>
      <c r="E14" s="12">
        <v>61</v>
      </c>
      <c r="F14" s="8">
        <v>3.81</v>
      </c>
      <c r="G14" s="12">
        <v>120</v>
      </c>
      <c r="H14" s="8">
        <v>4.55</v>
      </c>
      <c r="I14" s="12">
        <v>0</v>
      </c>
    </row>
    <row r="15" spans="2:9" ht="15" customHeight="1" x14ac:dyDescent="0.2">
      <c r="B15" t="s">
        <v>84</v>
      </c>
      <c r="C15" s="12">
        <v>417</v>
      </c>
      <c r="D15" s="8">
        <v>9.8000000000000007</v>
      </c>
      <c r="E15" s="12">
        <v>328</v>
      </c>
      <c r="F15" s="8">
        <v>20.49</v>
      </c>
      <c r="G15" s="12">
        <v>88</v>
      </c>
      <c r="H15" s="8">
        <v>3.34</v>
      </c>
      <c r="I15" s="12">
        <v>1</v>
      </c>
    </row>
    <row r="16" spans="2:9" ht="15" customHeight="1" x14ac:dyDescent="0.2">
      <c r="B16" t="s">
        <v>85</v>
      </c>
      <c r="C16" s="12">
        <v>470</v>
      </c>
      <c r="D16" s="8">
        <v>11.05</v>
      </c>
      <c r="E16" s="12">
        <v>329</v>
      </c>
      <c r="F16" s="8">
        <v>20.55</v>
      </c>
      <c r="G16" s="12">
        <v>141</v>
      </c>
      <c r="H16" s="8">
        <v>5.34</v>
      </c>
      <c r="I16" s="12">
        <v>0</v>
      </c>
    </row>
    <row r="17" spans="2:9" ht="15" customHeight="1" x14ac:dyDescent="0.2">
      <c r="B17" t="s">
        <v>86</v>
      </c>
      <c r="C17" s="12">
        <v>149</v>
      </c>
      <c r="D17" s="8">
        <v>3.5</v>
      </c>
      <c r="E17" s="12">
        <v>94</v>
      </c>
      <c r="F17" s="8">
        <v>5.87</v>
      </c>
      <c r="G17" s="12">
        <v>52</v>
      </c>
      <c r="H17" s="8">
        <v>1.97</v>
      </c>
      <c r="I17" s="12">
        <v>0</v>
      </c>
    </row>
    <row r="18" spans="2:9" ht="15" customHeight="1" x14ac:dyDescent="0.2">
      <c r="B18" t="s">
        <v>87</v>
      </c>
      <c r="C18" s="12">
        <v>192</v>
      </c>
      <c r="D18" s="8">
        <v>4.51</v>
      </c>
      <c r="E18" s="12">
        <v>125</v>
      </c>
      <c r="F18" s="8">
        <v>7.81</v>
      </c>
      <c r="G18" s="12">
        <v>66</v>
      </c>
      <c r="H18" s="8">
        <v>2.5</v>
      </c>
      <c r="I18" s="12">
        <v>0</v>
      </c>
    </row>
    <row r="19" spans="2:9" ht="15" customHeight="1" x14ac:dyDescent="0.2">
      <c r="B19" t="s">
        <v>88</v>
      </c>
      <c r="C19" s="12">
        <v>161</v>
      </c>
      <c r="D19" s="8">
        <v>3.78</v>
      </c>
      <c r="E19" s="12">
        <v>35</v>
      </c>
      <c r="F19" s="8">
        <v>2.19</v>
      </c>
      <c r="G19" s="12">
        <v>119</v>
      </c>
      <c r="H19" s="8">
        <v>4.51</v>
      </c>
      <c r="I19" s="12">
        <v>3</v>
      </c>
    </row>
    <row r="20" spans="2:9" ht="15" customHeight="1" x14ac:dyDescent="0.2">
      <c r="B20" s="9" t="s">
        <v>269</v>
      </c>
      <c r="C20" s="12">
        <f>SUM(LTBL_11221[総数／事業所数])</f>
        <v>4254</v>
      </c>
      <c r="E20" s="12">
        <f>SUBTOTAL(109,LTBL_11221[個人／事業所数])</f>
        <v>1601</v>
      </c>
      <c r="G20" s="12">
        <f>SUBTOTAL(109,LTBL_11221[法人／事業所数])</f>
        <v>2638</v>
      </c>
      <c r="I20" s="12">
        <f>SUBTOTAL(109,LTBL_11221[法人以外の団体／事業所数])</f>
        <v>7</v>
      </c>
    </row>
    <row r="21" spans="2:9" ht="15" customHeight="1" x14ac:dyDescent="0.2">
      <c r="E21" s="11">
        <f>LTBL_11221[[#Totals],[個人／事業所数]]/LTBL_11221[[#Totals],[総数／事業所数]]</f>
        <v>0.37635166901739542</v>
      </c>
      <c r="G21" s="11">
        <f>LTBL_11221[[#Totals],[法人／事業所数]]/LTBL_11221[[#Totals],[総数／事業所数]]</f>
        <v>0.6201222378937471</v>
      </c>
      <c r="I21" s="11">
        <f>LTBL_11221[[#Totals],[法人以外の団体／事業所数]]/LTBL_11221[[#Totals],[総数／事業所数]]</f>
        <v>1.6455101081335214E-3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111</v>
      </c>
      <c r="C24" s="12">
        <v>384</v>
      </c>
      <c r="D24" s="8">
        <v>9.0299999999999994</v>
      </c>
      <c r="E24" s="12">
        <v>321</v>
      </c>
      <c r="F24" s="8">
        <v>20.05</v>
      </c>
      <c r="G24" s="12">
        <v>62</v>
      </c>
      <c r="H24" s="8">
        <v>2.35</v>
      </c>
      <c r="I24" s="12">
        <v>1</v>
      </c>
    </row>
    <row r="25" spans="2:9" ht="15" customHeight="1" x14ac:dyDescent="0.2">
      <c r="B25" t="s">
        <v>112</v>
      </c>
      <c r="C25" s="12">
        <v>374</v>
      </c>
      <c r="D25" s="8">
        <v>8.7899999999999991</v>
      </c>
      <c r="E25" s="12">
        <v>287</v>
      </c>
      <c r="F25" s="8">
        <v>17.93</v>
      </c>
      <c r="G25" s="12">
        <v>87</v>
      </c>
      <c r="H25" s="8">
        <v>3.3</v>
      </c>
      <c r="I25" s="12">
        <v>0</v>
      </c>
    </row>
    <row r="26" spans="2:9" ht="15" customHeight="1" x14ac:dyDescent="0.2">
      <c r="B26" t="s">
        <v>108</v>
      </c>
      <c r="C26" s="12">
        <v>364</v>
      </c>
      <c r="D26" s="8">
        <v>8.56</v>
      </c>
      <c r="E26" s="12">
        <v>88</v>
      </c>
      <c r="F26" s="8">
        <v>5.5</v>
      </c>
      <c r="G26" s="12">
        <v>274</v>
      </c>
      <c r="H26" s="8">
        <v>10.39</v>
      </c>
      <c r="I26" s="12">
        <v>2</v>
      </c>
    </row>
    <row r="27" spans="2:9" ht="15" customHeight="1" x14ac:dyDescent="0.2">
      <c r="B27" t="s">
        <v>98</v>
      </c>
      <c r="C27" s="12">
        <v>284</v>
      </c>
      <c r="D27" s="8">
        <v>6.68</v>
      </c>
      <c r="E27" s="12">
        <v>42</v>
      </c>
      <c r="F27" s="8">
        <v>2.62</v>
      </c>
      <c r="G27" s="12">
        <v>242</v>
      </c>
      <c r="H27" s="8">
        <v>9.17</v>
      </c>
      <c r="I27" s="12">
        <v>0</v>
      </c>
    </row>
    <row r="28" spans="2:9" ht="15" customHeight="1" x14ac:dyDescent="0.2">
      <c r="B28" t="s">
        <v>97</v>
      </c>
      <c r="C28" s="12">
        <v>208</v>
      </c>
      <c r="D28" s="8">
        <v>4.8899999999999997</v>
      </c>
      <c r="E28" s="12">
        <v>21</v>
      </c>
      <c r="F28" s="8">
        <v>1.31</v>
      </c>
      <c r="G28" s="12">
        <v>187</v>
      </c>
      <c r="H28" s="8">
        <v>7.09</v>
      </c>
      <c r="I28" s="12">
        <v>0</v>
      </c>
    </row>
    <row r="29" spans="2:9" ht="15" customHeight="1" x14ac:dyDescent="0.2">
      <c r="B29" t="s">
        <v>106</v>
      </c>
      <c r="C29" s="12">
        <v>169</v>
      </c>
      <c r="D29" s="8">
        <v>3.97</v>
      </c>
      <c r="E29" s="12">
        <v>77</v>
      </c>
      <c r="F29" s="8">
        <v>4.8099999999999996</v>
      </c>
      <c r="G29" s="12">
        <v>92</v>
      </c>
      <c r="H29" s="8">
        <v>3.49</v>
      </c>
      <c r="I29" s="12">
        <v>0</v>
      </c>
    </row>
    <row r="30" spans="2:9" ht="15" customHeight="1" x14ac:dyDescent="0.2">
      <c r="B30" t="s">
        <v>99</v>
      </c>
      <c r="C30" s="12">
        <v>165</v>
      </c>
      <c r="D30" s="8">
        <v>3.88</v>
      </c>
      <c r="E30" s="12">
        <v>18</v>
      </c>
      <c r="F30" s="8">
        <v>1.1200000000000001</v>
      </c>
      <c r="G30" s="12">
        <v>146</v>
      </c>
      <c r="H30" s="8">
        <v>5.53</v>
      </c>
      <c r="I30" s="12">
        <v>1</v>
      </c>
    </row>
    <row r="31" spans="2:9" ht="15" customHeight="1" x14ac:dyDescent="0.2">
      <c r="B31" t="s">
        <v>100</v>
      </c>
      <c r="C31" s="12">
        <v>158</v>
      </c>
      <c r="D31" s="8">
        <v>3.71</v>
      </c>
      <c r="E31" s="12">
        <v>44</v>
      </c>
      <c r="F31" s="8">
        <v>2.75</v>
      </c>
      <c r="G31" s="12">
        <v>114</v>
      </c>
      <c r="H31" s="8">
        <v>4.32</v>
      </c>
      <c r="I31" s="12">
        <v>0</v>
      </c>
    </row>
    <row r="32" spans="2:9" ht="15" customHeight="1" x14ac:dyDescent="0.2">
      <c r="B32" t="s">
        <v>114</v>
      </c>
      <c r="C32" s="12">
        <v>149</v>
      </c>
      <c r="D32" s="8">
        <v>3.5</v>
      </c>
      <c r="E32" s="12">
        <v>94</v>
      </c>
      <c r="F32" s="8">
        <v>5.87</v>
      </c>
      <c r="G32" s="12">
        <v>52</v>
      </c>
      <c r="H32" s="8">
        <v>1.97</v>
      </c>
      <c r="I32" s="12">
        <v>0</v>
      </c>
    </row>
    <row r="33" spans="2:9" ht="15" customHeight="1" x14ac:dyDescent="0.2">
      <c r="B33" t="s">
        <v>115</v>
      </c>
      <c r="C33" s="12">
        <v>149</v>
      </c>
      <c r="D33" s="8">
        <v>3.5</v>
      </c>
      <c r="E33" s="12">
        <v>123</v>
      </c>
      <c r="F33" s="8">
        <v>7.68</v>
      </c>
      <c r="G33" s="12">
        <v>26</v>
      </c>
      <c r="H33" s="8">
        <v>0.99</v>
      </c>
      <c r="I33" s="12">
        <v>0</v>
      </c>
    </row>
    <row r="34" spans="2:9" ht="15" customHeight="1" x14ac:dyDescent="0.2">
      <c r="B34" t="s">
        <v>104</v>
      </c>
      <c r="C34" s="12">
        <v>141</v>
      </c>
      <c r="D34" s="8">
        <v>3.31</v>
      </c>
      <c r="E34" s="12">
        <v>76</v>
      </c>
      <c r="F34" s="8">
        <v>4.75</v>
      </c>
      <c r="G34" s="12">
        <v>65</v>
      </c>
      <c r="H34" s="8">
        <v>2.46</v>
      </c>
      <c r="I34" s="12">
        <v>0</v>
      </c>
    </row>
    <row r="35" spans="2:9" ht="15" customHeight="1" x14ac:dyDescent="0.2">
      <c r="B35" t="s">
        <v>105</v>
      </c>
      <c r="C35" s="12">
        <v>94</v>
      </c>
      <c r="D35" s="8">
        <v>2.21</v>
      </c>
      <c r="E35" s="12">
        <v>38</v>
      </c>
      <c r="F35" s="8">
        <v>2.37</v>
      </c>
      <c r="G35" s="12">
        <v>56</v>
      </c>
      <c r="H35" s="8">
        <v>2.12</v>
      </c>
      <c r="I35" s="12">
        <v>0</v>
      </c>
    </row>
    <row r="36" spans="2:9" ht="15" customHeight="1" x14ac:dyDescent="0.2">
      <c r="B36" t="s">
        <v>109</v>
      </c>
      <c r="C36" s="12">
        <v>93</v>
      </c>
      <c r="D36" s="8">
        <v>2.19</v>
      </c>
      <c r="E36" s="12">
        <v>46</v>
      </c>
      <c r="F36" s="8">
        <v>2.87</v>
      </c>
      <c r="G36" s="12">
        <v>47</v>
      </c>
      <c r="H36" s="8">
        <v>1.78</v>
      </c>
      <c r="I36" s="12">
        <v>0</v>
      </c>
    </row>
    <row r="37" spans="2:9" ht="15" customHeight="1" x14ac:dyDescent="0.2">
      <c r="B37" t="s">
        <v>117</v>
      </c>
      <c r="C37" s="12">
        <v>89</v>
      </c>
      <c r="D37" s="8">
        <v>2.09</v>
      </c>
      <c r="E37" s="12">
        <v>15</v>
      </c>
      <c r="F37" s="8">
        <v>0.94</v>
      </c>
      <c r="G37" s="12">
        <v>74</v>
      </c>
      <c r="H37" s="8">
        <v>2.81</v>
      </c>
      <c r="I37" s="12">
        <v>0</v>
      </c>
    </row>
    <row r="38" spans="2:9" ht="15" customHeight="1" x14ac:dyDescent="0.2">
      <c r="B38" t="s">
        <v>110</v>
      </c>
      <c r="C38" s="12">
        <v>81</v>
      </c>
      <c r="D38" s="8">
        <v>1.9</v>
      </c>
      <c r="E38" s="12">
        <v>15</v>
      </c>
      <c r="F38" s="8">
        <v>0.94</v>
      </c>
      <c r="G38" s="12">
        <v>66</v>
      </c>
      <c r="H38" s="8">
        <v>2.5</v>
      </c>
      <c r="I38" s="12">
        <v>0</v>
      </c>
    </row>
    <row r="39" spans="2:9" ht="15" customHeight="1" x14ac:dyDescent="0.2">
      <c r="B39" t="s">
        <v>125</v>
      </c>
      <c r="C39" s="12">
        <v>75</v>
      </c>
      <c r="D39" s="8">
        <v>1.76</v>
      </c>
      <c r="E39" s="12">
        <v>20</v>
      </c>
      <c r="F39" s="8">
        <v>1.25</v>
      </c>
      <c r="G39" s="12">
        <v>55</v>
      </c>
      <c r="H39" s="8">
        <v>2.08</v>
      </c>
      <c r="I39" s="12">
        <v>0</v>
      </c>
    </row>
    <row r="40" spans="2:9" ht="15" customHeight="1" x14ac:dyDescent="0.2">
      <c r="B40" t="s">
        <v>103</v>
      </c>
      <c r="C40" s="12">
        <v>69</v>
      </c>
      <c r="D40" s="8">
        <v>1.62</v>
      </c>
      <c r="E40" s="12">
        <v>28</v>
      </c>
      <c r="F40" s="8">
        <v>1.75</v>
      </c>
      <c r="G40" s="12">
        <v>41</v>
      </c>
      <c r="H40" s="8">
        <v>1.55</v>
      </c>
      <c r="I40" s="12">
        <v>0</v>
      </c>
    </row>
    <row r="41" spans="2:9" ht="15" customHeight="1" x14ac:dyDescent="0.2">
      <c r="B41" t="s">
        <v>107</v>
      </c>
      <c r="C41" s="12">
        <v>66</v>
      </c>
      <c r="D41" s="8">
        <v>1.55</v>
      </c>
      <c r="E41" s="12">
        <v>2</v>
      </c>
      <c r="F41" s="8">
        <v>0.12</v>
      </c>
      <c r="G41" s="12">
        <v>64</v>
      </c>
      <c r="H41" s="8">
        <v>2.4300000000000002</v>
      </c>
      <c r="I41" s="12">
        <v>0</v>
      </c>
    </row>
    <row r="42" spans="2:9" ht="15" customHeight="1" x14ac:dyDescent="0.2">
      <c r="B42" t="s">
        <v>113</v>
      </c>
      <c r="C42" s="12">
        <v>65</v>
      </c>
      <c r="D42" s="8">
        <v>1.53</v>
      </c>
      <c r="E42" s="12">
        <v>32</v>
      </c>
      <c r="F42" s="8">
        <v>2</v>
      </c>
      <c r="G42" s="12">
        <v>33</v>
      </c>
      <c r="H42" s="8">
        <v>1.25</v>
      </c>
      <c r="I42" s="12">
        <v>0</v>
      </c>
    </row>
    <row r="43" spans="2:9" ht="15" customHeight="1" x14ac:dyDescent="0.2">
      <c r="B43" t="s">
        <v>130</v>
      </c>
      <c r="C43" s="12">
        <v>63</v>
      </c>
      <c r="D43" s="8">
        <v>1.48</v>
      </c>
      <c r="E43" s="12">
        <v>15</v>
      </c>
      <c r="F43" s="8">
        <v>0.94</v>
      </c>
      <c r="G43" s="12">
        <v>48</v>
      </c>
      <c r="H43" s="8">
        <v>1.82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167</v>
      </c>
      <c r="C47" s="12">
        <v>188</v>
      </c>
      <c r="D47" s="8">
        <v>4.42</v>
      </c>
      <c r="E47" s="12">
        <v>69</v>
      </c>
      <c r="F47" s="8">
        <v>4.3099999999999996</v>
      </c>
      <c r="G47" s="12">
        <v>119</v>
      </c>
      <c r="H47" s="8">
        <v>4.51</v>
      </c>
      <c r="I47" s="12">
        <v>0</v>
      </c>
    </row>
    <row r="48" spans="2:9" ht="15" customHeight="1" x14ac:dyDescent="0.2">
      <c r="B48" t="s">
        <v>173</v>
      </c>
      <c r="C48" s="12">
        <v>184</v>
      </c>
      <c r="D48" s="8">
        <v>4.33</v>
      </c>
      <c r="E48" s="12">
        <v>143</v>
      </c>
      <c r="F48" s="8">
        <v>8.93</v>
      </c>
      <c r="G48" s="12">
        <v>41</v>
      </c>
      <c r="H48" s="8">
        <v>1.55</v>
      </c>
      <c r="I48" s="12">
        <v>0</v>
      </c>
    </row>
    <row r="49" spans="2:9" ht="15" customHeight="1" x14ac:dyDescent="0.2">
      <c r="B49" t="s">
        <v>170</v>
      </c>
      <c r="C49" s="12">
        <v>135</v>
      </c>
      <c r="D49" s="8">
        <v>3.17</v>
      </c>
      <c r="E49" s="12">
        <v>124</v>
      </c>
      <c r="F49" s="8">
        <v>7.75</v>
      </c>
      <c r="G49" s="12">
        <v>10</v>
      </c>
      <c r="H49" s="8">
        <v>0.38</v>
      </c>
      <c r="I49" s="12">
        <v>1</v>
      </c>
    </row>
    <row r="50" spans="2:9" ht="15" customHeight="1" x14ac:dyDescent="0.2">
      <c r="B50" t="s">
        <v>172</v>
      </c>
      <c r="C50" s="12">
        <v>103</v>
      </c>
      <c r="D50" s="8">
        <v>2.42</v>
      </c>
      <c r="E50" s="12">
        <v>99</v>
      </c>
      <c r="F50" s="8">
        <v>6.18</v>
      </c>
      <c r="G50" s="12">
        <v>4</v>
      </c>
      <c r="H50" s="8">
        <v>0.15</v>
      </c>
      <c r="I50" s="12">
        <v>0</v>
      </c>
    </row>
    <row r="51" spans="2:9" ht="15" customHeight="1" x14ac:dyDescent="0.2">
      <c r="B51" t="s">
        <v>175</v>
      </c>
      <c r="C51" s="12">
        <v>103</v>
      </c>
      <c r="D51" s="8">
        <v>2.42</v>
      </c>
      <c r="E51" s="12">
        <v>86</v>
      </c>
      <c r="F51" s="8">
        <v>5.37</v>
      </c>
      <c r="G51" s="12">
        <v>17</v>
      </c>
      <c r="H51" s="8">
        <v>0.64</v>
      </c>
      <c r="I51" s="12">
        <v>0</v>
      </c>
    </row>
    <row r="52" spans="2:9" ht="15" customHeight="1" x14ac:dyDescent="0.2">
      <c r="B52" t="s">
        <v>169</v>
      </c>
      <c r="C52" s="12">
        <v>102</v>
      </c>
      <c r="D52" s="8">
        <v>2.4</v>
      </c>
      <c r="E52" s="12">
        <v>79</v>
      </c>
      <c r="F52" s="8">
        <v>4.93</v>
      </c>
      <c r="G52" s="12">
        <v>23</v>
      </c>
      <c r="H52" s="8">
        <v>0.87</v>
      </c>
      <c r="I52" s="12">
        <v>0</v>
      </c>
    </row>
    <row r="53" spans="2:9" ht="15" customHeight="1" x14ac:dyDescent="0.2">
      <c r="B53" t="s">
        <v>174</v>
      </c>
      <c r="C53" s="12">
        <v>95</v>
      </c>
      <c r="D53" s="8">
        <v>2.23</v>
      </c>
      <c r="E53" s="12">
        <v>68</v>
      </c>
      <c r="F53" s="8">
        <v>4.25</v>
      </c>
      <c r="G53" s="12">
        <v>27</v>
      </c>
      <c r="H53" s="8">
        <v>1.02</v>
      </c>
      <c r="I53" s="12">
        <v>0</v>
      </c>
    </row>
    <row r="54" spans="2:9" ht="15" customHeight="1" x14ac:dyDescent="0.2">
      <c r="B54" t="s">
        <v>166</v>
      </c>
      <c r="C54" s="12">
        <v>80</v>
      </c>
      <c r="D54" s="8">
        <v>1.88</v>
      </c>
      <c r="E54" s="12">
        <v>9</v>
      </c>
      <c r="F54" s="8">
        <v>0.56000000000000005</v>
      </c>
      <c r="G54" s="12">
        <v>71</v>
      </c>
      <c r="H54" s="8">
        <v>2.69</v>
      </c>
      <c r="I54" s="12">
        <v>0</v>
      </c>
    </row>
    <row r="55" spans="2:9" ht="15" customHeight="1" x14ac:dyDescent="0.2">
      <c r="B55" t="s">
        <v>168</v>
      </c>
      <c r="C55" s="12">
        <v>75</v>
      </c>
      <c r="D55" s="8">
        <v>1.76</v>
      </c>
      <c r="E55" s="12">
        <v>2</v>
      </c>
      <c r="F55" s="8">
        <v>0.12</v>
      </c>
      <c r="G55" s="12">
        <v>71</v>
      </c>
      <c r="H55" s="8">
        <v>2.69</v>
      </c>
      <c r="I55" s="12">
        <v>2</v>
      </c>
    </row>
    <row r="56" spans="2:9" ht="15" customHeight="1" x14ac:dyDescent="0.2">
      <c r="B56" t="s">
        <v>200</v>
      </c>
      <c r="C56" s="12">
        <v>73</v>
      </c>
      <c r="D56" s="8">
        <v>1.72</v>
      </c>
      <c r="E56" s="12">
        <v>17</v>
      </c>
      <c r="F56" s="8">
        <v>1.06</v>
      </c>
      <c r="G56" s="12">
        <v>56</v>
      </c>
      <c r="H56" s="8">
        <v>2.12</v>
      </c>
      <c r="I56" s="12">
        <v>0</v>
      </c>
    </row>
    <row r="57" spans="2:9" ht="15" customHeight="1" x14ac:dyDescent="0.2">
      <c r="B57" t="s">
        <v>160</v>
      </c>
      <c r="C57" s="12">
        <v>71</v>
      </c>
      <c r="D57" s="8">
        <v>1.67</v>
      </c>
      <c r="E57" s="12">
        <v>14</v>
      </c>
      <c r="F57" s="8">
        <v>0.87</v>
      </c>
      <c r="G57" s="12">
        <v>56</v>
      </c>
      <c r="H57" s="8">
        <v>2.12</v>
      </c>
      <c r="I57" s="12">
        <v>1</v>
      </c>
    </row>
    <row r="58" spans="2:9" ht="15" customHeight="1" x14ac:dyDescent="0.2">
      <c r="B58" t="s">
        <v>197</v>
      </c>
      <c r="C58" s="12">
        <v>66</v>
      </c>
      <c r="D58" s="8">
        <v>1.55</v>
      </c>
      <c r="E58" s="12">
        <v>12</v>
      </c>
      <c r="F58" s="8">
        <v>0.75</v>
      </c>
      <c r="G58" s="12">
        <v>54</v>
      </c>
      <c r="H58" s="8">
        <v>2.0499999999999998</v>
      </c>
      <c r="I58" s="12">
        <v>0</v>
      </c>
    </row>
    <row r="59" spans="2:9" ht="15" customHeight="1" x14ac:dyDescent="0.2">
      <c r="B59" t="s">
        <v>164</v>
      </c>
      <c r="C59" s="12">
        <v>66</v>
      </c>
      <c r="D59" s="8">
        <v>1.55</v>
      </c>
      <c r="E59" s="12">
        <v>30</v>
      </c>
      <c r="F59" s="8">
        <v>1.87</v>
      </c>
      <c r="G59" s="12">
        <v>36</v>
      </c>
      <c r="H59" s="8">
        <v>1.36</v>
      </c>
      <c r="I59" s="12">
        <v>0</v>
      </c>
    </row>
    <row r="60" spans="2:9" ht="15" customHeight="1" x14ac:dyDescent="0.2">
      <c r="B60" t="s">
        <v>161</v>
      </c>
      <c r="C60" s="12">
        <v>64</v>
      </c>
      <c r="D60" s="8">
        <v>1.5</v>
      </c>
      <c r="E60" s="12">
        <v>3</v>
      </c>
      <c r="F60" s="8">
        <v>0.19</v>
      </c>
      <c r="G60" s="12">
        <v>61</v>
      </c>
      <c r="H60" s="8">
        <v>2.31</v>
      </c>
      <c r="I60" s="12">
        <v>0</v>
      </c>
    </row>
    <row r="61" spans="2:9" ht="15" customHeight="1" x14ac:dyDescent="0.2">
      <c r="B61" t="s">
        <v>188</v>
      </c>
      <c r="C61" s="12">
        <v>62</v>
      </c>
      <c r="D61" s="8">
        <v>1.46</v>
      </c>
      <c r="E61" s="12">
        <v>38</v>
      </c>
      <c r="F61" s="8">
        <v>2.37</v>
      </c>
      <c r="G61" s="12">
        <v>24</v>
      </c>
      <c r="H61" s="8">
        <v>0.91</v>
      </c>
      <c r="I61" s="12">
        <v>0</v>
      </c>
    </row>
    <row r="62" spans="2:9" ht="15" customHeight="1" x14ac:dyDescent="0.2">
      <c r="B62" t="s">
        <v>158</v>
      </c>
      <c r="C62" s="12">
        <v>56</v>
      </c>
      <c r="D62" s="8">
        <v>1.32</v>
      </c>
      <c r="E62" s="12">
        <v>3</v>
      </c>
      <c r="F62" s="8">
        <v>0.19</v>
      </c>
      <c r="G62" s="12">
        <v>53</v>
      </c>
      <c r="H62" s="8">
        <v>2.0099999999999998</v>
      </c>
      <c r="I62" s="12">
        <v>0</v>
      </c>
    </row>
    <row r="63" spans="2:9" ht="15" customHeight="1" x14ac:dyDescent="0.2">
      <c r="B63" t="s">
        <v>157</v>
      </c>
      <c r="C63" s="12">
        <v>55</v>
      </c>
      <c r="D63" s="8">
        <v>1.29</v>
      </c>
      <c r="E63" s="12">
        <v>1</v>
      </c>
      <c r="F63" s="8">
        <v>0.06</v>
      </c>
      <c r="G63" s="12">
        <v>54</v>
      </c>
      <c r="H63" s="8">
        <v>2.0499999999999998</v>
      </c>
      <c r="I63" s="12">
        <v>0</v>
      </c>
    </row>
    <row r="64" spans="2:9" ht="15" customHeight="1" x14ac:dyDescent="0.2">
      <c r="B64" t="s">
        <v>165</v>
      </c>
      <c r="C64" s="12">
        <v>54</v>
      </c>
      <c r="D64" s="8">
        <v>1.27</v>
      </c>
      <c r="E64" s="12">
        <v>2</v>
      </c>
      <c r="F64" s="8">
        <v>0.12</v>
      </c>
      <c r="G64" s="12">
        <v>52</v>
      </c>
      <c r="H64" s="8">
        <v>1.97</v>
      </c>
      <c r="I64" s="12">
        <v>0</v>
      </c>
    </row>
    <row r="65" spans="2:9" ht="15" customHeight="1" x14ac:dyDescent="0.2">
      <c r="B65" t="s">
        <v>171</v>
      </c>
      <c r="C65" s="12">
        <v>54</v>
      </c>
      <c r="D65" s="8">
        <v>1.27</v>
      </c>
      <c r="E65" s="12">
        <v>25</v>
      </c>
      <c r="F65" s="8">
        <v>1.56</v>
      </c>
      <c r="G65" s="12">
        <v>29</v>
      </c>
      <c r="H65" s="8">
        <v>1.1000000000000001</v>
      </c>
      <c r="I65" s="12">
        <v>0</v>
      </c>
    </row>
    <row r="66" spans="2:9" ht="15" customHeight="1" x14ac:dyDescent="0.2">
      <c r="B66" t="s">
        <v>177</v>
      </c>
      <c r="C66" s="12">
        <v>51</v>
      </c>
      <c r="D66" s="8">
        <v>1.2</v>
      </c>
      <c r="E66" s="12">
        <v>9</v>
      </c>
      <c r="F66" s="8">
        <v>0.56000000000000005</v>
      </c>
      <c r="G66" s="12">
        <v>42</v>
      </c>
      <c r="H66" s="8">
        <v>1.59</v>
      </c>
      <c r="I66" s="12">
        <v>0</v>
      </c>
    </row>
    <row r="68" spans="2:9" ht="15" customHeight="1" x14ac:dyDescent="0.2">
      <c r="B68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E7D38-2670-441B-B8FD-E3FAB024B4CD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301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799</v>
      </c>
      <c r="D6" s="8">
        <v>13.83</v>
      </c>
      <c r="E6" s="12">
        <v>134</v>
      </c>
      <c r="F6" s="8">
        <v>5.29</v>
      </c>
      <c r="G6" s="12">
        <v>665</v>
      </c>
      <c r="H6" s="8">
        <v>20.56</v>
      </c>
      <c r="I6" s="12">
        <v>0</v>
      </c>
    </row>
    <row r="7" spans="2:9" ht="15" customHeight="1" x14ac:dyDescent="0.2">
      <c r="B7" t="s">
        <v>76</v>
      </c>
      <c r="C7" s="12">
        <v>615</v>
      </c>
      <c r="D7" s="8">
        <v>10.64</v>
      </c>
      <c r="E7" s="12">
        <v>185</v>
      </c>
      <c r="F7" s="8">
        <v>7.31</v>
      </c>
      <c r="G7" s="12">
        <v>430</v>
      </c>
      <c r="H7" s="8">
        <v>13.3</v>
      </c>
      <c r="I7" s="12">
        <v>0</v>
      </c>
    </row>
    <row r="8" spans="2:9" ht="15" customHeight="1" x14ac:dyDescent="0.2">
      <c r="B8" t="s">
        <v>77</v>
      </c>
      <c r="C8" s="12">
        <v>4</v>
      </c>
      <c r="D8" s="8">
        <v>7.0000000000000007E-2</v>
      </c>
      <c r="E8" s="12">
        <v>0</v>
      </c>
      <c r="F8" s="8">
        <v>0</v>
      </c>
      <c r="G8" s="12">
        <v>4</v>
      </c>
      <c r="H8" s="8">
        <v>0.12</v>
      </c>
      <c r="I8" s="12">
        <v>0</v>
      </c>
    </row>
    <row r="9" spans="2:9" ht="15" customHeight="1" x14ac:dyDescent="0.2">
      <c r="B9" t="s">
        <v>78</v>
      </c>
      <c r="C9" s="12">
        <v>71</v>
      </c>
      <c r="D9" s="8">
        <v>1.23</v>
      </c>
      <c r="E9" s="12">
        <v>0</v>
      </c>
      <c r="F9" s="8">
        <v>0</v>
      </c>
      <c r="G9" s="12">
        <v>71</v>
      </c>
      <c r="H9" s="8">
        <v>2.2000000000000002</v>
      </c>
      <c r="I9" s="12">
        <v>0</v>
      </c>
    </row>
    <row r="10" spans="2:9" ht="15" customHeight="1" x14ac:dyDescent="0.2">
      <c r="B10" t="s">
        <v>79</v>
      </c>
      <c r="C10" s="12">
        <v>69</v>
      </c>
      <c r="D10" s="8">
        <v>1.19</v>
      </c>
      <c r="E10" s="12">
        <v>9</v>
      </c>
      <c r="F10" s="8">
        <v>0.36</v>
      </c>
      <c r="G10" s="12">
        <v>60</v>
      </c>
      <c r="H10" s="8">
        <v>1.86</v>
      </c>
      <c r="I10" s="12">
        <v>0</v>
      </c>
    </row>
    <row r="11" spans="2:9" ht="15" customHeight="1" x14ac:dyDescent="0.2">
      <c r="B11" t="s">
        <v>80</v>
      </c>
      <c r="C11" s="12">
        <v>1255</v>
      </c>
      <c r="D11" s="8">
        <v>21.72</v>
      </c>
      <c r="E11" s="12">
        <v>434</v>
      </c>
      <c r="F11" s="8">
        <v>17.149999999999999</v>
      </c>
      <c r="G11" s="12">
        <v>821</v>
      </c>
      <c r="H11" s="8">
        <v>25.39</v>
      </c>
      <c r="I11" s="12">
        <v>0</v>
      </c>
    </row>
    <row r="12" spans="2:9" ht="15" customHeight="1" x14ac:dyDescent="0.2">
      <c r="B12" t="s">
        <v>81</v>
      </c>
      <c r="C12" s="12">
        <v>32</v>
      </c>
      <c r="D12" s="8">
        <v>0.55000000000000004</v>
      </c>
      <c r="E12" s="12">
        <v>5</v>
      </c>
      <c r="F12" s="8">
        <v>0.2</v>
      </c>
      <c r="G12" s="12">
        <v>27</v>
      </c>
      <c r="H12" s="8">
        <v>0.83</v>
      </c>
      <c r="I12" s="12">
        <v>0</v>
      </c>
    </row>
    <row r="13" spans="2:9" ht="15" customHeight="1" x14ac:dyDescent="0.2">
      <c r="B13" t="s">
        <v>82</v>
      </c>
      <c r="C13" s="12">
        <v>510</v>
      </c>
      <c r="D13" s="8">
        <v>8.83</v>
      </c>
      <c r="E13" s="12">
        <v>100</v>
      </c>
      <c r="F13" s="8">
        <v>3.95</v>
      </c>
      <c r="G13" s="12">
        <v>408</v>
      </c>
      <c r="H13" s="8">
        <v>12.62</v>
      </c>
      <c r="I13" s="12">
        <v>2</v>
      </c>
    </row>
    <row r="14" spans="2:9" ht="15" customHeight="1" x14ac:dyDescent="0.2">
      <c r="B14" t="s">
        <v>83</v>
      </c>
      <c r="C14" s="12">
        <v>285</v>
      </c>
      <c r="D14" s="8">
        <v>4.93</v>
      </c>
      <c r="E14" s="12">
        <v>158</v>
      </c>
      <c r="F14" s="8">
        <v>6.24</v>
      </c>
      <c r="G14" s="12">
        <v>126</v>
      </c>
      <c r="H14" s="8">
        <v>3.9</v>
      </c>
      <c r="I14" s="12">
        <v>0</v>
      </c>
    </row>
    <row r="15" spans="2:9" ht="15" customHeight="1" x14ac:dyDescent="0.2">
      <c r="B15" t="s">
        <v>84</v>
      </c>
      <c r="C15" s="12">
        <v>634</v>
      </c>
      <c r="D15" s="8">
        <v>10.97</v>
      </c>
      <c r="E15" s="12">
        <v>515</v>
      </c>
      <c r="F15" s="8">
        <v>20.350000000000001</v>
      </c>
      <c r="G15" s="12">
        <v>119</v>
      </c>
      <c r="H15" s="8">
        <v>3.68</v>
      </c>
      <c r="I15" s="12">
        <v>0</v>
      </c>
    </row>
    <row r="16" spans="2:9" ht="15" customHeight="1" x14ac:dyDescent="0.2">
      <c r="B16" t="s">
        <v>85</v>
      </c>
      <c r="C16" s="12">
        <v>781</v>
      </c>
      <c r="D16" s="8">
        <v>13.51</v>
      </c>
      <c r="E16" s="12">
        <v>561</v>
      </c>
      <c r="F16" s="8">
        <v>22.17</v>
      </c>
      <c r="G16" s="12">
        <v>216</v>
      </c>
      <c r="H16" s="8">
        <v>6.68</v>
      </c>
      <c r="I16" s="12">
        <v>0</v>
      </c>
    </row>
    <row r="17" spans="2:9" ht="15" customHeight="1" x14ac:dyDescent="0.2">
      <c r="B17" t="s">
        <v>86</v>
      </c>
      <c r="C17" s="12">
        <v>249</v>
      </c>
      <c r="D17" s="8">
        <v>4.3099999999999996</v>
      </c>
      <c r="E17" s="12">
        <v>179</v>
      </c>
      <c r="F17" s="8">
        <v>7.07</v>
      </c>
      <c r="G17" s="12">
        <v>68</v>
      </c>
      <c r="H17" s="8">
        <v>2.1</v>
      </c>
      <c r="I17" s="12">
        <v>0</v>
      </c>
    </row>
    <row r="18" spans="2:9" ht="15" customHeight="1" x14ac:dyDescent="0.2">
      <c r="B18" t="s">
        <v>87</v>
      </c>
      <c r="C18" s="12">
        <v>290</v>
      </c>
      <c r="D18" s="8">
        <v>5.0199999999999996</v>
      </c>
      <c r="E18" s="12">
        <v>200</v>
      </c>
      <c r="F18" s="8">
        <v>7.9</v>
      </c>
      <c r="G18" s="12">
        <v>86</v>
      </c>
      <c r="H18" s="8">
        <v>2.66</v>
      </c>
      <c r="I18" s="12">
        <v>0</v>
      </c>
    </row>
    <row r="19" spans="2:9" ht="15" customHeight="1" x14ac:dyDescent="0.2">
      <c r="B19" t="s">
        <v>88</v>
      </c>
      <c r="C19" s="12">
        <v>185</v>
      </c>
      <c r="D19" s="8">
        <v>3.2</v>
      </c>
      <c r="E19" s="12">
        <v>51</v>
      </c>
      <c r="F19" s="8">
        <v>2.02</v>
      </c>
      <c r="G19" s="12">
        <v>133</v>
      </c>
      <c r="H19" s="8">
        <v>4.1100000000000003</v>
      </c>
      <c r="I19" s="12">
        <v>1</v>
      </c>
    </row>
    <row r="20" spans="2:9" ht="15" customHeight="1" x14ac:dyDescent="0.2">
      <c r="B20" s="9" t="s">
        <v>269</v>
      </c>
      <c r="C20" s="12">
        <f>SUM(LTBL_11222[総数／事業所数])</f>
        <v>5779</v>
      </c>
      <c r="E20" s="12">
        <f>SUBTOTAL(109,LTBL_11222[個人／事業所数])</f>
        <v>2531</v>
      </c>
      <c r="G20" s="12">
        <f>SUBTOTAL(109,LTBL_11222[法人／事業所数])</f>
        <v>3234</v>
      </c>
      <c r="I20" s="12">
        <f>SUBTOTAL(109,LTBL_11222[法人以外の団体／事業所数])</f>
        <v>3</v>
      </c>
    </row>
    <row r="21" spans="2:9" ht="15" customHeight="1" x14ac:dyDescent="0.2">
      <c r="E21" s="11">
        <f>LTBL_11222[[#Totals],[個人／事業所数]]/LTBL_11222[[#Totals],[総数／事業所数]]</f>
        <v>0.43796504585568435</v>
      </c>
      <c r="G21" s="11">
        <f>LTBL_11222[[#Totals],[法人／事業所数]]/LTBL_11222[[#Totals],[総数／事業所数]]</f>
        <v>0.55961238968679705</v>
      </c>
      <c r="I21" s="11">
        <f>LTBL_11222[[#Totals],[法人以外の団体／事業所数]]/LTBL_11222[[#Totals],[総数／事業所数]]</f>
        <v>5.1912095518255748E-4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618</v>
      </c>
      <c r="D24" s="8">
        <v>10.69</v>
      </c>
      <c r="E24" s="12">
        <v>490</v>
      </c>
      <c r="F24" s="8">
        <v>19.36</v>
      </c>
      <c r="G24" s="12">
        <v>128</v>
      </c>
      <c r="H24" s="8">
        <v>3.96</v>
      </c>
      <c r="I24" s="12">
        <v>0</v>
      </c>
    </row>
    <row r="25" spans="2:9" ht="15" customHeight="1" x14ac:dyDescent="0.2">
      <c r="B25" t="s">
        <v>111</v>
      </c>
      <c r="C25" s="12">
        <v>598</v>
      </c>
      <c r="D25" s="8">
        <v>10.35</v>
      </c>
      <c r="E25" s="12">
        <v>505</v>
      </c>
      <c r="F25" s="8">
        <v>19.95</v>
      </c>
      <c r="G25" s="12">
        <v>93</v>
      </c>
      <c r="H25" s="8">
        <v>2.88</v>
      </c>
      <c r="I25" s="12">
        <v>0</v>
      </c>
    </row>
    <row r="26" spans="2:9" ht="15" customHeight="1" x14ac:dyDescent="0.2">
      <c r="B26" t="s">
        <v>108</v>
      </c>
      <c r="C26" s="12">
        <v>347</v>
      </c>
      <c r="D26" s="8">
        <v>6</v>
      </c>
      <c r="E26" s="12">
        <v>87</v>
      </c>
      <c r="F26" s="8">
        <v>3.44</v>
      </c>
      <c r="G26" s="12">
        <v>258</v>
      </c>
      <c r="H26" s="8">
        <v>7.98</v>
      </c>
      <c r="I26" s="12">
        <v>2</v>
      </c>
    </row>
    <row r="27" spans="2:9" ht="15" customHeight="1" x14ac:dyDescent="0.2">
      <c r="B27" t="s">
        <v>98</v>
      </c>
      <c r="C27" s="12">
        <v>323</v>
      </c>
      <c r="D27" s="8">
        <v>5.59</v>
      </c>
      <c r="E27" s="12">
        <v>62</v>
      </c>
      <c r="F27" s="8">
        <v>2.4500000000000002</v>
      </c>
      <c r="G27" s="12">
        <v>261</v>
      </c>
      <c r="H27" s="8">
        <v>8.07</v>
      </c>
      <c r="I27" s="12">
        <v>0</v>
      </c>
    </row>
    <row r="28" spans="2:9" ht="15" customHeight="1" x14ac:dyDescent="0.2">
      <c r="B28" t="s">
        <v>106</v>
      </c>
      <c r="C28" s="12">
        <v>315</v>
      </c>
      <c r="D28" s="8">
        <v>5.45</v>
      </c>
      <c r="E28" s="12">
        <v>134</v>
      </c>
      <c r="F28" s="8">
        <v>5.29</v>
      </c>
      <c r="G28" s="12">
        <v>181</v>
      </c>
      <c r="H28" s="8">
        <v>5.6</v>
      </c>
      <c r="I28" s="12">
        <v>0</v>
      </c>
    </row>
    <row r="29" spans="2:9" ht="15" customHeight="1" x14ac:dyDescent="0.2">
      <c r="B29" t="s">
        <v>97</v>
      </c>
      <c r="C29" s="12">
        <v>273</v>
      </c>
      <c r="D29" s="8">
        <v>4.72</v>
      </c>
      <c r="E29" s="12">
        <v>42</v>
      </c>
      <c r="F29" s="8">
        <v>1.66</v>
      </c>
      <c r="G29" s="12">
        <v>231</v>
      </c>
      <c r="H29" s="8">
        <v>7.14</v>
      </c>
      <c r="I29" s="12">
        <v>0</v>
      </c>
    </row>
    <row r="30" spans="2:9" ht="15" customHeight="1" x14ac:dyDescent="0.2">
      <c r="B30" t="s">
        <v>114</v>
      </c>
      <c r="C30" s="12">
        <v>249</v>
      </c>
      <c r="D30" s="8">
        <v>4.3099999999999996</v>
      </c>
      <c r="E30" s="12">
        <v>179</v>
      </c>
      <c r="F30" s="8">
        <v>7.07</v>
      </c>
      <c r="G30" s="12">
        <v>68</v>
      </c>
      <c r="H30" s="8">
        <v>2.1</v>
      </c>
      <c r="I30" s="12">
        <v>0</v>
      </c>
    </row>
    <row r="31" spans="2:9" ht="15" customHeight="1" x14ac:dyDescent="0.2">
      <c r="B31" t="s">
        <v>115</v>
      </c>
      <c r="C31" s="12">
        <v>231</v>
      </c>
      <c r="D31" s="8">
        <v>4</v>
      </c>
      <c r="E31" s="12">
        <v>199</v>
      </c>
      <c r="F31" s="8">
        <v>7.86</v>
      </c>
      <c r="G31" s="12">
        <v>32</v>
      </c>
      <c r="H31" s="8">
        <v>0.99</v>
      </c>
      <c r="I31" s="12">
        <v>0</v>
      </c>
    </row>
    <row r="32" spans="2:9" ht="15" customHeight="1" x14ac:dyDescent="0.2">
      <c r="B32" t="s">
        <v>99</v>
      </c>
      <c r="C32" s="12">
        <v>203</v>
      </c>
      <c r="D32" s="8">
        <v>3.51</v>
      </c>
      <c r="E32" s="12">
        <v>30</v>
      </c>
      <c r="F32" s="8">
        <v>1.19</v>
      </c>
      <c r="G32" s="12">
        <v>173</v>
      </c>
      <c r="H32" s="8">
        <v>5.35</v>
      </c>
      <c r="I32" s="12">
        <v>0</v>
      </c>
    </row>
    <row r="33" spans="2:9" ht="15" customHeight="1" x14ac:dyDescent="0.2">
      <c r="B33" t="s">
        <v>104</v>
      </c>
      <c r="C33" s="12">
        <v>193</v>
      </c>
      <c r="D33" s="8">
        <v>3.34</v>
      </c>
      <c r="E33" s="12">
        <v>133</v>
      </c>
      <c r="F33" s="8">
        <v>5.25</v>
      </c>
      <c r="G33" s="12">
        <v>60</v>
      </c>
      <c r="H33" s="8">
        <v>1.86</v>
      </c>
      <c r="I33" s="12">
        <v>0</v>
      </c>
    </row>
    <row r="34" spans="2:9" ht="15" customHeight="1" x14ac:dyDescent="0.2">
      <c r="B34" t="s">
        <v>103</v>
      </c>
      <c r="C34" s="12">
        <v>190</v>
      </c>
      <c r="D34" s="8">
        <v>3.29</v>
      </c>
      <c r="E34" s="12">
        <v>52</v>
      </c>
      <c r="F34" s="8">
        <v>2.0499999999999998</v>
      </c>
      <c r="G34" s="12">
        <v>138</v>
      </c>
      <c r="H34" s="8">
        <v>4.2699999999999996</v>
      </c>
      <c r="I34" s="12">
        <v>0</v>
      </c>
    </row>
    <row r="35" spans="2:9" ht="15" customHeight="1" x14ac:dyDescent="0.2">
      <c r="B35" t="s">
        <v>109</v>
      </c>
      <c r="C35" s="12">
        <v>180</v>
      </c>
      <c r="D35" s="8">
        <v>3.11</v>
      </c>
      <c r="E35" s="12">
        <v>128</v>
      </c>
      <c r="F35" s="8">
        <v>5.0599999999999996</v>
      </c>
      <c r="G35" s="12">
        <v>52</v>
      </c>
      <c r="H35" s="8">
        <v>1.61</v>
      </c>
      <c r="I35" s="12">
        <v>0</v>
      </c>
    </row>
    <row r="36" spans="2:9" ht="15" customHeight="1" x14ac:dyDescent="0.2">
      <c r="B36" t="s">
        <v>105</v>
      </c>
      <c r="C36" s="12">
        <v>162</v>
      </c>
      <c r="D36" s="8">
        <v>2.8</v>
      </c>
      <c r="E36" s="12">
        <v>65</v>
      </c>
      <c r="F36" s="8">
        <v>2.57</v>
      </c>
      <c r="G36" s="12">
        <v>97</v>
      </c>
      <c r="H36" s="8">
        <v>3</v>
      </c>
      <c r="I36" s="12">
        <v>0</v>
      </c>
    </row>
    <row r="37" spans="2:9" ht="15" customHeight="1" x14ac:dyDescent="0.2">
      <c r="B37" t="s">
        <v>107</v>
      </c>
      <c r="C37" s="12">
        <v>140</v>
      </c>
      <c r="D37" s="8">
        <v>2.42</v>
      </c>
      <c r="E37" s="12">
        <v>11</v>
      </c>
      <c r="F37" s="8">
        <v>0.43</v>
      </c>
      <c r="G37" s="12">
        <v>129</v>
      </c>
      <c r="H37" s="8">
        <v>3.99</v>
      </c>
      <c r="I37" s="12">
        <v>0</v>
      </c>
    </row>
    <row r="38" spans="2:9" ht="15" customHeight="1" x14ac:dyDescent="0.2">
      <c r="B38" t="s">
        <v>100</v>
      </c>
      <c r="C38" s="12">
        <v>121</v>
      </c>
      <c r="D38" s="8">
        <v>2.09</v>
      </c>
      <c r="E38" s="12">
        <v>31</v>
      </c>
      <c r="F38" s="8">
        <v>1.22</v>
      </c>
      <c r="G38" s="12">
        <v>90</v>
      </c>
      <c r="H38" s="8">
        <v>2.78</v>
      </c>
      <c r="I38" s="12">
        <v>0</v>
      </c>
    </row>
    <row r="39" spans="2:9" ht="15" customHeight="1" x14ac:dyDescent="0.2">
      <c r="B39" t="s">
        <v>113</v>
      </c>
      <c r="C39" s="12">
        <v>119</v>
      </c>
      <c r="D39" s="8">
        <v>2.06</v>
      </c>
      <c r="E39" s="12">
        <v>54</v>
      </c>
      <c r="F39" s="8">
        <v>2.13</v>
      </c>
      <c r="G39" s="12">
        <v>65</v>
      </c>
      <c r="H39" s="8">
        <v>2.0099999999999998</v>
      </c>
      <c r="I39" s="12">
        <v>0</v>
      </c>
    </row>
    <row r="40" spans="2:9" ht="15" customHeight="1" x14ac:dyDescent="0.2">
      <c r="B40" t="s">
        <v>110</v>
      </c>
      <c r="C40" s="12">
        <v>98</v>
      </c>
      <c r="D40" s="8">
        <v>1.7</v>
      </c>
      <c r="E40" s="12">
        <v>30</v>
      </c>
      <c r="F40" s="8">
        <v>1.19</v>
      </c>
      <c r="G40" s="12">
        <v>67</v>
      </c>
      <c r="H40" s="8">
        <v>2.0699999999999998</v>
      </c>
      <c r="I40" s="12">
        <v>0</v>
      </c>
    </row>
    <row r="41" spans="2:9" ht="15" customHeight="1" x14ac:dyDescent="0.2">
      <c r="B41" t="s">
        <v>102</v>
      </c>
      <c r="C41" s="12">
        <v>96</v>
      </c>
      <c r="D41" s="8">
        <v>1.66</v>
      </c>
      <c r="E41" s="12">
        <v>9</v>
      </c>
      <c r="F41" s="8">
        <v>0.36</v>
      </c>
      <c r="G41" s="12">
        <v>87</v>
      </c>
      <c r="H41" s="8">
        <v>2.69</v>
      </c>
      <c r="I41" s="12">
        <v>0</v>
      </c>
    </row>
    <row r="42" spans="2:9" ht="15" customHeight="1" x14ac:dyDescent="0.2">
      <c r="B42" t="s">
        <v>117</v>
      </c>
      <c r="C42" s="12">
        <v>95</v>
      </c>
      <c r="D42" s="8">
        <v>1.64</v>
      </c>
      <c r="E42" s="12">
        <v>16</v>
      </c>
      <c r="F42" s="8">
        <v>0.63</v>
      </c>
      <c r="G42" s="12">
        <v>79</v>
      </c>
      <c r="H42" s="8">
        <v>2.44</v>
      </c>
      <c r="I42" s="12">
        <v>0</v>
      </c>
    </row>
    <row r="43" spans="2:9" ht="15" customHeight="1" x14ac:dyDescent="0.2">
      <c r="B43" t="s">
        <v>101</v>
      </c>
      <c r="C43" s="12">
        <v>92</v>
      </c>
      <c r="D43" s="8">
        <v>1.59</v>
      </c>
      <c r="E43" s="12">
        <v>12</v>
      </c>
      <c r="F43" s="8">
        <v>0.47</v>
      </c>
      <c r="G43" s="12">
        <v>80</v>
      </c>
      <c r="H43" s="8">
        <v>2.4700000000000002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173</v>
      </c>
      <c r="C47" s="12">
        <v>275</v>
      </c>
      <c r="D47" s="8">
        <v>4.76</v>
      </c>
      <c r="E47" s="12">
        <v>228</v>
      </c>
      <c r="F47" s="8">
        <v>9.01</v>
      </c>
      <c r="G47" s="12">
        <v>47</v>
      </c>
      <c r="H47" s="8">
        <v>1.45</v>
      </c>
      <c r="I47" s="12">
        <v>0</v>
      </c>
    </row>
    <row r="48" spans="2:9" ht="15" customHeight="1" x14ac:dyDescent="0.2">
      <c r="B48" t="s">
        <v>170</v>
      </c>
      <c r="C48" s="12">
        <v>202</v>
      </c>
      <c r="D48" s="8">
        <v>3.5</v>
      </c>
      <c r="E48" s="12">
        <v>188</v>
      </c>
      <c r="F48" s="8">
        <v>7.43</v>
      </c>
      <c r="G48" s="12">
        <v>14</v>
      </c>
      <c r="H48" s="8">
        <v>0.43</v>
      </c>
      <c r="I48" s="12">
        <v>0</v>
      </c>
    </row>
    <row r="49" spans="2:9" ht="15" customHeight="1" x14ac:dyDescent="0.2">
      <c r="B49" t="s">
        <v>172</v>
      </c>
      <c r="C49" s="12">
        <v>199</v>
      </c>
      <c r="D49" s="8">
        <v>3.44</v>
      </c>
      <c r="E49" s="12">
        <v>181</v>
      </c>
      <c r="F49" s="8">
        <v>7.15</v>
      </c>
      <c r="G49" s="12">
        <v>18</v>
      </c>
      <c r="H49" s="8">
        <v>0.56000000000000005</v>
      </c>
      <c r="I49" s="12">
        <v>0</v>
      </c>
    </row>
    <row r="50" spans="2:9" ht="15" customHeight="1" x14ac:dyDescent="0.2">
      <c r="B50" t="s">
        <v>169</v>
      </c>
      <c r="C50" s="12">
        <v>183</v>
      </c>
      <c r="D50" s="8">
        <v>3.17</v>
      </c>
      <c r="E50" s="12">
        <v>138</v>
      </c>
      <c r="F50" s="8">
        <v>5.45</v>
      </c>
      <c r="G50" s="12">
        <v>45</v>
      </c>
      <c r="H50" s="8">
        <v>1.39</v>
      </c>
      <c r="I50" s="12">
        <v>0</v>
      </c>
    </row>
    <row r="51" spans="2:9" ht="15" customHeight="1" x14ac:dyDescent="0.2">
      <c r="B51" t="s">
        <v>167</v>
      </c>
      <c r="C51" s="12">
        <v>174</v>
      </c>
      <c r="D51" s="8">
        <v>3.01</v>
      </c>
      <c r="E51" s="12">
        <v>61</v>
      </c>
      <c r="F51" s="8">
        <v>2.41</v>
      </c>
      <c r="G51" s="12">
        <v>113</v>
      </c>
      <c r="H51" s="8">
        <v>3.49</v>
      </c>
      <c r="I51" s="12">
        <v>0</v>
      </c>
    </row>
    <row r="52" spans="2:9" ht="15" customHeight="1" x14ac:dyDescent="0.2">
      <c r="B52" t="s">
        <v>175</v>
      </c>
      <c r="C52" s="12">
        <v>163</v>
      </c>
      <c r="D52" s="8">
        <v>2.82</v>
      </c>
      <c r="E52" s="12">
        <v>145</v>
      </c>
      <c r="F52" s="8">
        <v>5.73</v>
      </c>
      <c r="G52" s="12">
        <v>18</v>
      </c>
      <c r="H52" s="8">
        <v>0.56000000000000005</v>
      </c>
      <c r="I52" s="12">
        <v>0</v>
      </c>
    </row>
    <row r="53" spans="2:9" ht="15" customHeight="1" x14ac:dyDescent="0.2">
      <c r="B53" t="s">
        <v>174</v>
      </c>
      <c r="C53" s="12">
        <v>160</v>
      </c>
      <c r="D53" s="8">
        <v>2.77</v>
      </c>
      <c r="E53" s="12">
        <v>129</v>
      </c>
      <c r="F53" s="8">
        <v>5.0999999999999996</v>
      </c>
      <c r="G53" s="12">
        <v>31</v>
      </c>
      <c r="H53" s="8">
        <v>0.96</v>
      </c>
      <c r="I53" s="12">
        <v>0</v>
      </c>
    </row>
    <row r="54" spans="2:9" ht="15" customHeight="1" x14ac:dyDescent="0.2">
      <c r="B54" t="s">
        <v>164</v>
      </c>
      <c r="C54" s="12">
        <v>100</v>
      </c>
      <c r="D54" s="8">
        <v>1.73</v>
      </c>
      <c r="E54" s="12">
        <v>52</v>
      </c>
      <c r="F54" s="8">
        <v>2.0499999999999998</v>
      </c>
      <c r="G54" s="12">
        <v>48</v>
      </c>
      <c r="H54" s="8">
        <v>1.48</v>
      </c>
      <c r="I54" s="12">
        <v>0</v>
      </c>
    </row>
    <row r="55" spans="2:9" ht="15" customHeight="1" x14ac:dyDescent="0.2">
      <c r="B55" t="s">
        <v>165</v>
      </c>
      <c r="C55" s="12">
        <v>93</v>
      </c>
      <c r="D55" s="8">
        <v>1.61</v>
      </c>
      <c r="E55" s="12">
        <v>7</v>
      </c>
      <c r="F55" s="8">
        <v>0.28000000000000003</v>
      </c>
      <c r="G55" s="12">
        <v>86</v>
      </c>
      <c r="H55" s="8">
        <v>2.66</v>
      </c>
      <c r="I55" s="12">
        <v>0</v>
      </c>
    </row>
    <row r="56" spans="2:9" ht="15" customHeight="1" x14ac:dyDescent="0.2">
      <c r="B56" t="s">
        <v>171</v>
      </c>
      <c r="C56" s="12">
        <v>91</v>
      </c>
      <c r="D56" s="8">
        <v>1.57</v>
      </c>
      <c r="E56" s="12">
        <v>50</v>
      </c>
      <c r="F56" s="8">
        <v>1.98</v>
      </c>
      <c r="G56" s="12">
        <v>41</v>
      </c>
      <c r="H56" s="8">
        <v>1.27</v>
      </c>
      <c r="I56" s="12">
        <v>0</v>
      </c>
    </row>
    <row r="57" spans="2:9" ht="15" customHeight="1" x14ac:dyDescent="0.2">
      <c r="B57" t="s">
        <v>186</v>
      </c>
      <c r="C57" s="12">
        <v>90</v>
      </c>
      <c r="D57" s="8">
        <v>1.56</v>
      </c>
      <c r="E57" s="12">
        <v>23</v>
      </c>
      <c r="F57" s="8">
        <v>0.91</v>
      </c>
      <c r="G57" s="12">
        <v>67</v>
      </c>
      <c r="H57" s="8">
        <v>2.0699999999999998</v>
      </c>
      <c r="I57" s="12">
        <v>0</v>
      </c>
    </row>
    <row r="58" spans="2:9" ht="15" customHeight="1" x14ac:dyDescent="0.2">
      <c r="B58" t="s">
        <v>160</v>
      </c>
      <c r="C58" s="12">
        <v>89</v>
      </c>
      <c r="D58" s="8">
        <v>1.54</v>
      </c>
      <c r="E58" s="12">
        <v>22</v>
      </c>
      <c r="F58" s="8">
        <v>0.87</v>
      </c>
      <c r="G58" s="12">
        <v>67</v>
      </c>
      <c r="H58" s="8">
        <v>2.0699999999999998</v>
      </c>
      <c r="I58" s="12">
        <v>0</v>
      </c>
    </row>
    <row r="59" spans="2:9" ht="15" customHeight="1" x14ac:dyDescent="0.2">
      <c r="B59" t="s">
        <v>163</v>
      </c>
      <c r="C59" s="12">
        <v>88</v>
      </c>
      <c r="D59" s="8">
        <v>1.52</v>
      </c>
      <c r="E59" s="12">
        <v>26</v>
      </c>
      <c r="F59" s="8">
        <v>1.03</v>
      </c>
      <c r="G59" s="12">
        <v>62</v>
      </c>
      <c r="H59" s="8">
        <v>1.92</v>
      </c>
      <c r="I59" s="12">
        <v>0</v>
      </c>
    </row>
    <row r="60" spans="2:9" ht="15" customHeight="1" x14ac:dyDescent="0.2">
      <c r="B60" t="s">
        <v>162</v>
      </c>
      <c r="C60" s="12">
        <v>82</v>
      </c>
      <c r="D60" s="8">
        <v>1.42</v>
      </c>
      <c r="E60" s="12">
        <v>59</v>
      </c>
      <c r="F60" s="8">
        <v>2.33</v>
      </c>
      <c r="G60" s="12">
        <v>23</v>
      </c>
      <c r="H60" s="8">
        <v>0.71</v>
      </c>
      <c r="I60" s="12">
        <v>0</v>
      </c>
    </row>
    <row r="61" spans="2:9" ht="15" customHeight="1" x14ac:dyDescent="0.2">
      <c r="B61" t="s">
        <v>168</v>
      </c>
      <c r="C61" s="12">
        <v>81</v>
      </c>
      <c r="D61" s="8">
        <v>1.4</v>
      </c>
      <c r="E61" s="12">
        <v>3</v>
      </c>
      <c r="F61" s="8">
        <v>0.12</v>
      </c>
      <c r="G61" s="12">
        <v>77</v>
      </c>
      <c r="H61" s="8">
        <v>2.38</v>
      </c>
      <c r="I61" s="12">
        <v>1</v>
      </c>
    </row>
    <row r="62" spans="2:9" ht="15" customHeight="1" x14ac:dyDescent="0.2">
      <c r="B62" t="s">
        <v>179</v>
      </c>
      <c r="C62" s="12">
        <v>80</v>
      </c>
      <c r="D62" s="8">
        <v>1.38</v>
      </c>
      <c r="E62" s="12">
        <v>50</v>
      </c>
      <c r="F62" s="8">
        <v>1.98</v>
      </c>
      <c r="G62" s="12">
        <v>30</v>
      </c>
      <c r="H62" s="8">
        <v>0.93</v>
      </c>
      <c r="I62" s="12">
        <v>0</v>
      </c>
    </row>
    <row r="63" spans="2:9" ht="15" customHeight="1" x14ac:dyDescent="0.2">
      <c r="B63" t="s">
        <v>159</v>
      </c>
      <c r="C63" s="12">
        <v>78</v>
      </c>
      <c r="D63" s="8">
        <v>1.35</v>
      </c>
      <c r="E63" s="12">
        <v>26</v>
      </c>
      <c r="F63" s="8">
        <v>1.03</v>
      </c>
      <c r="G63" s="12">
        <v>52</v>
      </c>
      <c r="H63" s="8">
        <v>1.61</v>
      </c>
      <c r="I63" s="12">
        <v>0</v>
      </c>
    </row>
    <row r="64" spans="2:9" ht="15" customHeight="1" x14ac:dyDescent="0.2">
      <c r="B64" t="s">
        <v>166</v>
      </c>
      <c r="C64" s="12">
        <v>76</v>
      </c>
      <c r="D64" s="8">
        <v>1.32</v>
      </c>
      <c r="E64" s="12">
        <v>15</v>
      </c>
      <c r="F64" s="8">
        <v>0.59</v>
      </c>
      <c r="G64" s="12">
        <v>60</v>
      </c>
      <c r="H64" s="8">
        <v>1.86</v>
      </c>
      <c r="I64" s="12">
        <v>1</v>
      </c>
    </row>
    <row r="65" spans="2:9" ht="15" customHeight="1" x14ac:dyDescent="0.2">
      <c r="B65" t="s">
        <v>185</v>
      </c>
      <c r="C65" s="12">
        <v>75</v>
      </c>
      <c r="D65" s="8">
        <v>1.3</v>
      </c>
      <c r="E65" s="12">
        <v>25</v>
      </c>
      <c r="F65" s="8">
        <v>0.99</v>
      </c>
      <c r="G65" s="12">
        <v>50</v>
      </c>
      <c r="H65" s="8">
        <v>1.55</v>
      </c>
      <c r="I65" s="12">
        <v>0</v>
      </c>
    </row>
    <row r="66" spans="2:9" ht="15" customHeight="1" x14ac:dyDescent="0.2">
      <c r="B66" t="s">
        <v>158</v>
      </c>
      <c r="C66" s="12">
        <v>73</v>
      </c>
      <c r="D66" s="8">
        <v>1.26</v>
      </c>
      <c r="E66" s="12">
        <v>4</v>
      </c>
      <c r="F66" s="8">
        <v>0.16</v>
      </c>
      <c r="G66" s="12">
        <v>69</v>
      </c>
      <c r="H66" s="8">
        <v>2.13</v>
      </c>
      <c r="I66" s="12">
        <v>0</v>
      </c>
    </row>
    <row r="67" spans="2:9" ht="15" customHeight="1" x14ac:dyDescent="0.2">
      <c r="B67" t="s">
        <v>161</v>
      </c>
      <c r="C67" s="12">
        <v>73</v>
      </c>
      <c r="D67" s="8">
        <v>1.26</v>
      </c>
      <c r="E67" s="12">
        <v>8</v>
      </c>
      <c r="F67" s="8">
        <v>0.32</v>
      </c>
      <c r="G67" s="12">
        <v>65</v>
      </c>
      <c r="H67" s="8">
        <v>2.0099999999999998</v>
      </c>
      <c r="I67" s="12">
        <v>0</v>
      </c>
    </row>
    <row r="69" spans="2:9" ht="15" customHeight="1" x14ac:dyDescent="0.2">
      <c r="B69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823C9-C33F-4B79-8EF1-6176B80A4683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302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190</v>
      </c>
      <c r="D6" s="8">
        <v>12.31</v>
      </c>
      <c r="E6" s="12">
        <v>30</v>
      </c>
      <c r="F6" s="8">
        <v>4.25</v>
      </c>
      <c r="G6" s="12">
        <v>160</v>
      </c>
      <c r="H6" s="8">
        <v>19.350000000000001</v>
      </c>
      <c r="I6" s="12">
        <v>0</v>
      </c>
    </row>
    <row r="7" spans="2:9" ht="15" customHeight="1" x14ac:dyDescent="0.2">
      <c r="B7" t="s">
        <v>76</v>
      </c>
      <c r="C7" s="12">
        <v>116</v>
      </c>
      <c r="D7" s="8">
        <v>7.52</v>
      </c>
      <c r="E7" s="12">
        <v>27</v>
      </c>
      <c r="F7" s="8">
        <v>3.82</v>
      </c>
      <c r="G7" s="12">
        <v>89</v>
      </c>
      <c r="H7" s="8">
        <v>10.76</v>
      </c>
      <c r="I7" s="12">
        <v>0</v>
      </c>
    </row>
    <row r="8" spans="2:9" ht="15" customHeight="1" x14ac:dyDescent="0.2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78</v>
      </c>
      <c r="C9" s="12">
        <v>24</v>
      </c>
      <c r="D9" s="8">
        <v>1.56</v>
      </c>
      <c r="E9" s="12">
        <v>1</v>
      </c>
      <c r="F9" s="8">
        <v>0.14000000000000001</v>
      </c>
      <c r="G9" s="12">
        <v>23</v>
      </c>
      <c r="H9" s="8">
        <v>2.78</v>
      </c>
      <c r="I9" s="12">
        <v>0</v>
      </c>
    </row>
    <row r="10" spans="2:9" ht="15" customHeight="1" x14ac:dyDescent="0.2">
      <c r="B10" t="s">
        <v>79</v>
      </c>
      <c r="C10" s="12">
        <v>5</v>
      </c>
      <c r="D10" s="8">
        <v>0.32</v>
      </c>
      <c r="E10" s="12">
        <v>0</v>
      </c>
      <c r="F10" s="8">
        <v>0</v>
      </c>
      <c r="G10" s="12">
        <v>5</v>
      </c>
      <c r="H10" s="8">
        <v>0.6</v>
      </c>
      <c r="I10" s="12">
        <v>0</v>
      </c>
    </row>
    <row r="11" spans="2:9" ht="15" customHeight="1" x14ac:dyDescent="0.2">
      <c r="B11" t="s">
        <v>80</v>
      </c>
      <c r="C11" s="12">
        <v>295</v>
      </c>
      <c r="D11" s="8">
        <v>19.12</v>
      </c>
      <c r="E11" s="12">
        <v>112</v>
      </c>
      <c r="F11" s="8">
        <v>15.86</v>
      </c>
      <c r="G11" s="12">
        <v>183</v>
      </c>
      <c r="H11" s="8">
        <v>22.13</v>
      </c>
      <c r="I11" s="12">
        <v>0</v>
      </c>
    </row>
    <row r="12" spans="2:9" ht="15" customHeight="1" x14ac:dyDescent="0.2">
      <c r="B12" t="s">
        <v>81</v>
      </c>
      <c r="C12" s="12">
        <v>9</v>
      </c>
      <c r="D12" s="8">
        <v>0.57999999999999996</v>
      </c>
      <c r="E12" s="12">
        <v>0</v>
      </c>
      <c r="F12" s="8">
        <v>0</v>
      </c>
      <c r="G12" s="12">
        <v>9</v>
      </c>
      <c r="H12" s="8">
        <v>1.0900000000000001</v>
      </c>
      <c r="I12" s="12">
        <v>0</v>
      </c>
    </row>
    <row r="13" spans="2:9" ht="15" customHeight="1" x14ac:dyDescent="0.2">
      <c r="B13" t="s">
        <v>82</v>
      </c>
      <c r="C13" s="12">
        <v>253</v>
      </c>
      <c r="D13" s="8">
        <v>16.399999999999999</v>
      </c>
      <c r="E13" s="12">
        <v>86</v>
      </c>
      <c r="F13" s="8">
        <v>12.18</v>
      </c>
      <c r="G13" s="12">
        <v>167</v>
      </c>
      <c r="H13" s="8">
        <v>20.190000000000001</v>
      </c>
      <c r="I13" s="12">
        <v>0</v>
      </c>
    </row>
    <row r="14" spans="2:9" ht="15" customHeight="1" x14ac:dyDescent="0.2">
      <c r="B14" t="s">
        <v>83</v>
      </c>
      <c r="C14" s="12">
        <v>65</v>
      </c>
      <c r="D14" s="8">
        <v>4.21</v>
      </c>
      <c r="E14" s="12">
        <v>28</v>
      </c>
      <c r="F14" s="8">
        <v>3.97</v>
      </c>
      <c r="G14" s="12">
        <v>37</v>
      </c>
      <c r="H14" s="8">
        <v>4.47</v>
      </c>
      <c r="I14" s="12">
        <v>0</v>
      </c>
    </row>
    <row r="15" spans="2:9" ht="15" customHeight="1" x14ac:dyDescent="0.2">
      <c r="B15" t="s">
        <v>84</v>
      </c>
      <c r="C15" s="12">
        <v>210</v>
      </c>
      <c r="D15" s="8">
        <v>13.61</v>
      </c>
      <c r="E15" s="12">
        <v>173</v>
      </c>
      <c r="F15" s="8">
        <v>24.5</v>
      </c>
      <c r="G15" s="12">
        <v>36</v>
      </c>
      <c r="H15" s="8">
        <v>4.3499999999999996</v>
      </c>
      <c r="I15" s="12">
        <v>0</v>
      </c>
    </row>
    <row r="16" spans="2:9" ht="15" customHeight="1" x14ac:dyDescent="0.2">
      <c r="B16" t="s">
        <v>85</v>
      </c>
      <c r="C16" s="12">
        <v>202</v>
      </c>
      <c r="D16" s="8">
        <v>13.09</v>
      </c>
      <c r="E16" s="12">
        <v>149</v>
      </c>
      <c r="F16" s="8">
        <v>21.1</v>
      </c>
      <c r="G16" s="12">
        <v>53</v>
      </c>
      <c r="H16" s="8">
        <v>6.41</v>
      </c>
      <c r="I16" s="12">
        <v>0</v>
      </c>
    </row>
    <row r="17" spans="2:9" ht="15" customHeight="1" x14ac:dyDescent="0.2">
      <c r="B17" t="s">
        <v>86</v>
      </c>
      <c r="C17" s="12">
        <v>57</v>
      </c>
      <c r="D17" s="8">
        <v>3.69</v>
      </c>
      <c r="E17" s="12">
        <v>40</v>
      </c>
      <c r="F17" s="8">
        <v>5.67</v>
      </c>
      <c r="G17" s="12">
        <v>13</v>
      </c>
      <c r="H17" s="8">
        <v>1.57</v>
      </c>
      <c r="I17" s="12">
        <v>0</v>
      </c>
    </row>
    <row r="18" spans="2:9" ht="15" customHeight="1" x14ac:dyDescent="0.2">
      <c r="B18" t="s">
        <v>87</v>
      </c>
      <c r="C18" s="12">
        <v>89</v>
      </c>
      <c r="D18" s="8">
        <v>5.77</v>
      </c>
      <c r="E18" s="12">
        <v>52</v>
      </c>
      <c r="F18" s="8">
        <v>7.37</v>
      </c>
      <c r="G18" s="12">
        <v>33</v>
      </c>
      <c r="H18" s="8">
        <v>3.99</v>
      </c>
      <c r="I18" s="12">
        <v>0</v>
      </c>
    </row>
    <row r="19" spans="2:9" ht="15" customHeight="1" x14ac:dyDescent="0.2">
      <c r="B19" t="s">
        <v>88</v>
      </c>
      <c r="C19" s="12">
        <v>28</v>
      </c>
      <c r="D19" s="8">
        <v>1.81</v>
      </c>
      <c r="E19" s="12">
        <v>8</v>
      </c>
      <c r="F19" s="8">
        <v>1.1299999999999999</v>
      </c>
      <c r="G19" s="12">
        <v>19</v>
      </c>
      <c r="H19" s="8">
        <v>2.2999999999999998</v>
      </c>
      <c r="I19" s="12">
        <v>0</v>
      </c>
    </row>
    <row r="20" spans="2:9" ht="15" customHeight="1" x14ac:dyDescent="0.2">
      <c r="B20" s="9" t="s">
        <v>269</v>
      </c>
      <c r="C20" s="12">
        <f>SUM(LTBL_11223[総数／事業所数])</f>
        <v>1543</v>
      </c>
      <c r="E20" s="12">
        <f>SUBTOTAL(109,LTBL_11223[個人／事業所数])</f>
        <v>706</v>
      </c>
      <c r="G20" s="12">
        <f>SUBTOTAL(109,LTBL_11223[法人／事業所数])</f>
        <v>827</v>
      </c>
      <c r="I20" s="12">
        <f>SUBTOTAL(109,LTBL_11223[法人以外の団体／事業所数])</f>
        <v>0</v>
      </c>
    </row>
    <row r="21" spans="2:9" ht="15" customHeight="1" x14ac:dyDescent="0.2">
      <c r="E21" s="11">
        <f>LTBL_11223[[#Totals],[個人／事業所数]]/LTBL_11223[[#Totals],[総数／事業所数]]</f>
        <v>0.45755022683084901</v>
      </c>
      <c r="G21" s="11">
        <f>LTBL_11223[[#Totals],[法人／事業所数]]/LTBL_11223[[#Totals],[総数／事業所数]]</f>
        <v>0.53596889176928064</v>
      </c>
      <c r="I21" s="11">
        <f>LTBL_11223[[#Totals],[法人以外の団体／事業所数]]/LTBL_11223[[#Totals],[総数／事業所数]]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108</v>
      </c>
      <c r="C24" s="12">
        <v>217</v>
      </c>
      <c r="D24" s="8">
        <v>14.06</v>
      </c>
      <c r="E24" s="12">
        <v>82</v>
      </c>
      <c r="F24" s="8">
        <v>11.61</v>
      </c>
      <c r="G24" s="12">
        <v>135</v>
      </c>
      <c r="H24" s="8">
        <v>16.32</v>
      </c>
      <c r="I24" s="12">
        <v>0</v>
      </c>
    </row>
    <row r="25" spans="2:9" ht="15" customHeight="1" x14ac:dyDescent="0.2">
      <c r="B25" t="s">
        <v>111</v>
      </c>
      <c r="C25" s="12">
        <v>192</v>
      </c>
      <c r="D25" s="8">
        <v>12.44</v>
      </c>
      <c r="E25" s="12">
        <v>168</v>
      </c>
      <c r="F25" s="8">
        <v>23.8</v>
      </c>
      <c r="G25" s="12">
        <v>24</v>
      </c>
      <c r="H25" s="8">
        <v>2.9</v>
      </c>
      <c r="I25" s="12">
        <v>0</v>
      </c>
    </row>
    <row r="26" spans="2:9" ht="15" customHeight="1" x14ac:dyDescent="0.2">
      <c r="B26" t="s">
        <v>112</v>
      </c>
      <c r="C26" s="12">
        <v>162</v>
      </c>
      <c r="D26" s="8">
        <v>10.5</v>
      </c>
      <c r="E26" s="12">
        <v>136</v>
      </c>
      <c r="F26" s="8">
        <v>19.260000000000002</v>
      </c>
      <c r="G26" s="12">
        <v>26</v>
      </c>
      <c r="H26" s="8">
        <v>3.14</v>
      </c>
      <c r="I26" s="12">
        <v>0</v>
      </c>
    </row>
    <row r="27" spans="2:9" ht="15" customHeight="1" x14ac:dyDescent="0.2">
      <c r="B27" t="s">
        <v>106</v>
      </c>
      <c r="C27" s="12">
        <v>79</v>
      </c>
      <c r="D27" s="8">
        <v>5.12</v>
      </c>
      <c r="E27" s="12">
        <v>33</v>
      </c>
      <c r="F27" s="8">
        <v>4.67</v>
      </c>
      <c r="G27" s="12">
        <v>46</v>
      </c>
      <c r="H27" s="8">
        <v>5.56</v>
      </c>
      <c r="I27" s="12">
        <v>0</v>
      </c>
    </row>
    <row r="28" spans="2:9" ht="15" customHeight="1" x14ac:dyDescent="0.2">
      <c r="B28" t="s">
        <v>98</v>
      </c>
      <c r="C28" s="12">
        <v>78</v>
      </c>
      <c r="D28" s="8">
        <v>5.0599999999999996</v>
      </c>
      <c r="E28" s="12">
        <v>13</v>
      </c>
      <c r="F28" s="8">
        <v>1.84</v>
      </c>
      <c r="G28" s="12">
        <v>65</v>
      </c>
      <c r="H28" s="8">
        <v>7.86</v>
      </c>
      <c r="I28" s="12">
        <v>0</v>
      </c>
    </row>
    <row r="29" spans="2:9" ht="15" customHeight="1" x14ac:dyDescent="0.2">
      <c r="B29" t="s">
        <v>115</v>
      </c>
      <c r="C29" s="12">
        <v>64</v>
      </c>
      <c r="D29" s="8">
        <v>4.1500000000000004</v>
      </c>
      <c r="E29" s="12">
        <v>51</v>
      </c>
      <c r="F29" s="8">
        <v>7.22</v>
      </c>
      <c r="G29" s="12">
        <v>13</v>
      </c>
      <c r="H29" s="8">
        <v>1.57</v>
      </c>
      <c r="I29" s="12">
        <v>0</v>
      </c>
    </row>
    <row r="30" spans="2:9" ht="15" customHeight="1" x14ac:dyDescent="0.2">
      <c r="B30" t="s">
        <v>104</v>
      </c>
      <c r="C30" s="12">
        <v>63</v>
      </c>
      <c r="D30" s="8">
        <v>4.08</v>
      </c>
      <c r="E30" s="12">
        <v>33</v>
      </c>
      <c r="F30" s="8">
        <v>4.67</v>
      </c>
      <c r="G30" s="12">
        <v>30</v>
      </c>
      <c r="H30" s="8">
        <v>3.63</v>
      </c>
      <c r="I30" s="12">
        <v>0</v>
      </c>
    </row>
    <row r="31" spans="2:9" ht="15" customHeight="1" x14ac:dyDescent="0.2">
      <c r="B31" t="s">
        <v>99</v>
      </c>
      <c r="C31" s="12">
        <v>58</v>
      </c>
      <c r="D31" s="8">
        <v>3.76</v>
      </c>
      <c r="E31" s="12">
        <v>6</v>
      </c>
      <c r="F31" s="8">
        <v>0.85</v>
      </c>
      <c r="G31" s="12">
        <v>52</v>
      </c>
      <c r="H31" s="8">
        <v>6.29</v>
      </c>
      <c r="I31" s="12">
        <v>0</v>
      </c>
    </row>
    <row r="32" spans="2:9" ht="15" customHeight="1" x14ac:dyDescent="0.2">
      <c r="B32" t="s">
        <v>114</v>
      </c>
      <c r="C32" s="12">
        <v>57</v>
      </c>
      <c r="D32" s="8">
        <v>3.69</v>
      </c>
      <c r="E32" s="12">
        <v>40</v>
      </c>
      <c r="F32" s="8">
        <v>5.67</v>
      </c>
      <c r="G32" s="12">
        <v>13</v>
      </c>
      <c r="H32" s="8">
        <v>1.57</v>
      </c>
      <c r="I32" s="12">
        <v>0</v>
      </c>
    </row>
    <row r="33" spans="2:9" ht="15" customHeight="1" x14ac:dyDescent="0.2">
      <c r="B33" t="s">
        <v>97</v>
      </c>
      <c r="C33" s="12">
        <v>54</v>
      </c>
      <c r="D33" s="8">
        <v>3.5</v>
      </c>
      <c r="E33" s="12">
        <v>11</v>
      </c>
      <c r="F33" s="8">
        <v>1.56</v>
      </c>
      <c r="G33" s="12">
        <v>43</v>
      </c>
      <c r="H33" s="8">
        <v>5.2</v>
      </c>
      <c r="I33" s="12">
        <v>0</v>
      </c>
    </row>
    <row r="34" spans="2:9" ht="15" customHeight="1" x14ac:dyDescent="0.2">
      <c r="B34" t="s">
        <v>103</v>
      </c>
      <c r="C34" s="12">
        <v>35</v>
      </c>
      <c r="D34" s="8">
        <v>2.27</v>
      </c>
      <c r="E34" s="12">
        <v>21</v>
      </c>
      <c r="F34" s="8">
        <v>2.97</v>
      </c>
      <c r="G34" s="12">
        <v>14</v>
      </c>
      <c r="H34" s="8">
        <v>1.69</v>
      </c>
      <c r="I34" s="12">
        <v>0</v>
      </c>
    </row>
    <row r="35" spans="2:9" ht="15" customHeight="1" x14ac:dyDescent="0.2">
      <c r="B35" t="s">
        <v>107</v>
      </c>
      <c r="C35" s="12">
        <v>34</v>
      </c>
      <c r="D35" s="8">
        <v>2.2000000000000002</v>
      </c>
      <c r="E35" s="12">
        <v>4</v>
      </c>
      <c r="F35" s="8">
        <v>0.56999999999999995</v>
      </c>
      <c r="G35" s="12">
        <v>30</v>
      </c>
      <c r="H35" s="8">
        <v>3.63</v>
      </c>
      <c r="I35" s="12">
        <v>0</v>
      </c>
    </row>
    <row r="36" spans="2:9" ht="15" customHeight="1" x14ac:dyDescent="0.2">
      <c r="B36" t="s">
        <v>109</v>
      </c>
      <c r="C36" s="12">
        <v>34</v>
      </c>
      <c r="D36" s="8">
        <v>2.2000000000000002</v>
      </c>
      <c r="E36" s="12">
        <v>20</v>
      </c>
      <c r="F36" s="8">
        <v>2.83</v>
      </c>
      <c r="G36" s="12">
        <v>14</v>
      </c>
      <c r="H36" s="8">
        <v>1.69</v>
      </c>
      <c r="I36" s="12">
        <v>0</v>
      </c>
    </row>
    <row r="37" spans="2:9" ht="15" customHeight="1" x14ac:dyDescent="0.2">
      <c r="B37" t="s">
        <v>110</v>
      </c>
      <c r="C37" s="12">
        <v>28</v>
      </c>
      <c r="D37" s="8">
        <v>1.81</v>
      </c>
      <c r="E37" s="12">
        <v>8</v>
      </c>
      <c r="F37" s="8">
        <v>1.1299999999999999</v>
      </c>
      <c r="G37" s="12">
        <v>20</v>
      </c>
      <c r="H37" s="8">
        <v>2.42</v>
      </c>
      <c r="I37" s="12">
        <v>0</v>
      </c>
    </row>
    <row r="38" spans="2:9" ht="15" customHeight="1" x14ac:dyDescent="0.2">
      <c r="B38" t="s">
        <v>105</v>
      </c>
      <c r="C38" s="12">
        <v>27</v>
      </c>
      <c r="D38" s="8">
        <v>1.75</v>
      </c>
      <c r="E38" s="12">
        <v>14</v>
      </c>
      <c r="F38" s="8">
        <v>1.98</v>
      </c>
      <c r="G38" s="12">
        <v>13</v>
      </c>
      <c r="H38" s="8">
        <v>1.57</v>
      </c>
      <c r="I38" s="12">
        <v>0</v>
      </c>
    </row>
    <row r="39" spans="2:9" ht="15" customHeight="1" x14ac:dyDescent="0.2">
      <c r="B39" t="s">
        <v>117</v>
      </c>
      <c r="C39" s="12">
        <v>25</v>
      </c>
      <c r="D39" s="8">
        <v>1.62</v>
      </c>
      <c r="E39" s="12">
        <v>2</v>
      </c>
      <c r="F39" s="8">
        <v>0.28000000000000003</v>
      </c>
      <c r="G39" s="12">
        <v>23</v>
      </c>
      <c r="H39" s="8">
        <v>2.78</v>
      </c>
      <c r="I39" s="12">
        <v>0</v>
      </c>
    </row>
    <row r="40" spans="2:9" ht="15" customHeight="1" x14ac:dyDescent="0.2">
      <c r="B40" t="s">
        <v>113</v>
      </c>
      <c r="C40" s="12">
        <v>25</v>
      </c>
      <c r="D40" s="8">
        <v>1.62</v>
      </c>
      <c r="E40" s="12">
        <v>9</v>
      </c>
      <c r="F40" s="8">
        <v>1.27</v>
      </c>
      <c r="G40" s="12">
        <v>16</v>
      </c>
      <c r="H40" s="8">
        <v>1.93</v>
      </c>
      <c r="I40" s="12">
        <v>0</v>
      </c>
    </row>
    <row r="41" spans="2:9" ht="15" customHeight="1" x14ac:dyDescent="0.2">
      <c r="B41" t="s">
        <v>118</v>
      </c>
      <c r="C41" s="12">
        <v>25</v>
      </c>
      <c r="D41" s="8">
        <v>1.62</v>
      </c>
      <c r="E41" s="12">
        <v>1</v>
      </c>
      <c r="F41" s="8">
        <v>0.14000000000000001</v>
      </c>
      <c r="G41" s="12">
        <v>20</v>
      </c>
      <c r="H41" s="8">
        <v>2.42</v>
      </c>
      <c r="I41" s="12">
        <v>0</v>
      </c>
    </row>
    <row r="42" spans="2:9" ht="15" customHeight="1" x14ac:dyDescent="0.2">
      <c r="B42" t="s">
        <v>101</v>
      </c>
      <c r="C42" s="12">
        <v>20</v>
      </c>
      <c r="D42" s="8">
        <v>1.3</v>
      </c>
      <c r="E42" s="12">
        <v>3</v>
      </c>
      <c r="F42" s="8">
        <v>0.42</v>
      </c>
      <c r="G42" s="12">
        <v>17</v>
      </c>
      <c r="H42" s="8">
        <v>2.06</v>
      </c>
      <c r="I42" s="12">
        <v>0</v>
      </c>
    </row>
    <row r="43" spans="2:9" ht="15" customHeight="1" x14ac:dyDescent="0.2">
      <c r="B43" t="s">
        <v>102</v>
      </c>
      <c r="C43" s="12">
        <v>16</v>
      </c>
      <c r="D43" s="8">
        <v>1.04</v>
      </c>
      <c r="E43" s="12">
        <v>2</v>
      </c>
      <c r="F43" s="8">
        <v>0.28000000000000003</v>
      </c>
      <c r="G43" s="12">
        <v>14</v>
      </c>
      <c r="H43" s="8">
        <v>1.69</v>
      </c>
      <c r="I43" s="12">
        <v>0</v>
      </c>
    </row>
    <row r="44" spans="2:9" ht="15" customHeight="1" x14ac:dyDescent="0.2">
      <c r="B44" t="s">
        <v>122</v>
      </c>
      <c r="C44" s="12">
        <v>16</v>
      </c>
      <c r="D44" s="8">
        <v>1.04</v>
      </c>
      <c r="E44" s="12">
        <v>2</v>
      </c>
      <c r="F44" s="8">
        <v>0.28000000000000003</v>
      </c>
      <c r="G44" s="12">
        <v>14</v>
      </c>
      <c r="H44" s="8">
        <v>1.69</v>
      </c>
      <c r="I44" s="12">
        <v>0</v>
      </c>
    </row>
    <row r="47" spans="2:9" ht="33" customHeight="1" x14ac:dyDescent="0.2">
      <c r="B47" t="s">
        <v>271</v>
      </c>
      <c r="C47" s="10" t="s">
        <v>90</v>
      </c>
      <c r="D47" s="10" t="s">
        <v>91</v>
      </c>
      <c r="E47" s="10" t="s">
        <v>92</v>
      </c>
      <c r="F47" s="10" t="s">
        <v>93</v>
      </c>
      <c r="G47" s="10" t="s">
        <v>94</v>
      </c>
      <c r="H47" s="10" t="s">
        <v>95</v>
      </c>
      <c r="I47" s="10" t="s">
        <v>96</v>
      </c>
    </row>
    <row r="48" spans="2:9" ht="15" customHeight="1" x14ac:dyDescent="0.2">
      <c r="B48" t="s">
        <v>167</v>
      </c>
      <c r="C48" s="12">
        <v>131</v>
      </c>
      <c r="D48" s="8">
        <v>8.49</v>
      </c>
      <c r="E48" s="12">
        <v>63</v>
      </c>
      <c r="F48" s="8">
        <v>8.92</v>
      </c>
      <c r="G48" s="12">
        <v>68</v>
      </c>
      <c r="H48" s="8">
        <v>8.2200000000000006</v>
      </c>
      <c r="I48" s="12">
        <v>0</v>
      </c>
    </row>
    <row r="49" spans="2:9" ht="15" customHeight="1" x14ac:dyDescent="0.2">
      <c r="B49" t="s">
        <v>173</v>
      </c>
      <c r="C49" s="12">
        <v>62</v>
      </c>
      <c r="D49" s="8">
        <v>4.0199999999999996</v>
      </c>
      <c r="E49" s="12">
        <v>50</v>
      </c>
      <c r="F49" s="8">
        <v>7.08</v>
      </c>
      <c r="G49" s="12">
        <v>12</v>
      </c>
      <c r="H49" s="8">
        <v>1.45</v>
      </c>
      <c r="I49" s="12">
        <v>0</v>
      </c>
    </row>
    <row r="50" spans="2:9" ht="15" customHeight="1" x14ac:dyDescent="0.2">
      <c r="B50" t="s">
        <v>170</v>
      </c>
      <c r="C50" s="12">
        <v>55</v>
      </c>
      <c r="D50" s="8">
        <v>3.56</v>
      </c>
      <c r="E50" s="12">
        <v>49</v>
      </c>
      <c r="F50" s="8">
        <v>6.94</v>
      </c>
      <c r="G50" s="12">
        <v>6</v>
      </c>
      <c r="H50" s="8">
        <v>0.73</v>
      </c>
      <c r="I50" s="12">
        <v>0</v>
      </c>
    </row>
    <row r="51" spans="2:9" ht="15" customHeight="1" x14ac:dyDescent="0.2">
      <c r="B51" t="s">
        <v>172</v>
      </c>
      <c r="C51" s="12">
        <v>53</v>
      </c>
      <c r="D51" s="8">
        <v>3.43</v>
      </c>
      <c r="E51" s="12">
        <v>50</v>
      </c>
      <c r="F51" s="8">
        <v>7.08</v>
      </c>
      <c r="G51" s="12">
        <v>3</v>
      </c>
      <c r="H51" s="8">
        <v>0.36</v>
      </c>
      <c r="I51" s="12">
        <v>0</v>
      </c>
    </row>
    <row r="52" spans="2:9" ht="15" customHeight="1" x14ac:dyDescent="0.2">
      <c r="B52" t="s">
        <v>169</v>
      </c>
      <c r="C52" s="12">
        <v>52</v>
      </c>
      <c r="D52" s="8">
        <v>3.37</v>
      </c>
      <c r="E52" s="12">
        <v>43</v>
      </c>
      <c r="F52" s="8">
        <v>6.09</v>
      </c>
      <c r="G52" s="12">
        <v>9</v>
      </c>
      <c r="H52" s="8">
        <v>1.0900000000000001</v>
      </c>
      <c r="I52" s="12">
        <v>0</v>
      </c>
    </row>
    <row r="53" spans="2:9" ht="15" customHeight="1" x14ac:dyDescent="0.2">
      <c r="B53" t="s">
        <v>175</v>
      </c>
      <c r="C53" s="12">
        <v>44</v>
      </c>
      <c r="D53" s="8">
        <v>2.85</v>
      </c>
      <c r="E53" s="12">
        <v>37</v>
      </c>
      <c r="F53" s="8">
        <v>5.24</v>
      </c>
      <c r="G53" s="12">
        <v>7</v>
      </c>
      <c r="H53" s="8">
        <v>0.85</v>
      </c>
      <c r="I53" s="12">
        <v>0</v>
      </c>
    </row>
    <row r="54" spans="2:9" ht="15" customHeight="1" x14ac:dyDescent="0.2">
      <c r="B54" t="s">
        <v>166</v>
      </c>
      <c r="C54" s="12">
        <v>43</v>
      </c>
      <c r="D54" s="8">
        <v>2.79</v>
      </c>
      <c r="E54" s="12">
        <v>5</v>
      </c>
      <c r="F54" s="8">
        <v>0.71</v>
      </c>
      <c r="G54" s="12">
        <v>38</v>
      </c>
      <c r="H54" s="8">
        <v>4.59</v>
      </c>
      <c r="I54" s="12">
        <v>0</v>
      </c>
    </row>
    <row r="55" spans="2:9" ht="15" customHeight="1" x14ac:dyDescent="0.2">
      <c r="B55" t="s">
        <v>191</v>
      </c>
      <c r="C55" s="12">
        <v>43</v>
      </c>
      <c r="D55" s="8">
        <v>2.79</v>
      </c>
      <c r="E55" s="12">
        <v>42</v>
      </c>
      <c r="F55" s="8">
        <v>5.95</v>
      </c>
      <c r="G55" s="12">
        <v>1</v>
      </c>
      <c r="H55" s="8">
        <v>0.12</v>
      </c>
      <c r="I55" s="12">
        <v>0</v>
      </c>
    </row>
    <row r="56" spans="2:9" ht="15" customHeight="1" x14ac:dyDescent="0.2">
      <c r="B56" t="s">
        <v>174</v>
      </c>
      <c r="C56" s="12">
        <v>41</v>
      </c>
      <c r="D56" s="8">
        <v>2.66</v>
      </c>
      <c r="E56" s="12">
        <v>36</v>
      </c>
      <c r="F56" s="8">
        <v>5.0999999999999996</v>
      </c>
      <c r="G56" s="12">
        <v>5</v>
      </c>
      <c r="H56" s="8">
        <v>0.6</v>
      </c>
      <c r="I56" s="12">
        <v>0</v>
      </c>
    </row>
    <row r="57" spans="2:9" ht="15" customHeight="1" x14ac:dyDescent="0.2">
      <c r="B57" t="s">
        <v>171</v>
      </c>
      <c r="C57" s="12">
        <v>28</v>
      </c>
      <c r="D57" s="8">
        <v>1.81</v>
      </c>
      <c r="E57" s="12">
        <v>20</v>
      </c>
      <c r="F57" s="8">
        <v>2.83</v>
      </c>
      <c r="G57" s="12">
        <v>8</v>
      </c>
      <c r="H57" s="8">
        <v>0.97</v>
      </c>
      <c r="I57" s="12">
        <v>0</v>
      </c>
    </row>
    <row r="58" spans="2:9" ht="15" customHeight="1" x14ac:dyDescent="0.2">
      <c r="B58" t="s">
        <v>160</v>
      </c>
      <c r="C58" s="12">
        <v>27</v>
      </c>
      <c r="D58" s="8">
        <v>1.75</v>
      </c>
      <c r="E58" s="12">
        <v>4</v>
      </c>
      <c r="F58" s="8">
        <v>0.56999999999999995</v>
      </c>
      <c r="G58" s="12">
        <v>23</v>
      </c>
      <c r="H58" s="8">
        <v>2.78</v>
      </c>
      <c r="I58" s="12">
        <v>0</v>
      </c>
    </row>
    <row r="59" spans="2:9" ht="15" customHeight="1" x14ac:dyDescent="0.2">
      <c r="B59" t="s">
        <v>164</v>
      </c>
      <c r="C59" s="12">
        <v>27</v>
      </c>
      <c r="D59" s="8">
        <v>1.75</v>
      </c>
      <c r="E59" s="12">
        <v>18</v>
      </c>
      <c r="F59" s="8">
        <v>2.5499999999999998</v>
      </c>
      <c r="G59" s="12">
        <v>9</v>
      </c>
      <c r="H59" s="8">
        <v>1.0900000000000001</v>
      </c>
      <c r="I59" s="12">
        <v>0</v>
      </c>
    </row>
    <row r="60" spans="2:9" ht="15" customHeight="1" x14ac:dyDescent="0.2">
      <c r="B60" t="s">
        <v>165</v>
      </c>
      <c r="C60" s="12">
        <v>26</v>
      </c>
      <c r="D60" s="8">
        <v>1.69</v>
      </c>
      <c r="E60" s="12">
        <v>4</v>
      </c>
      <c r="F60" s="8">
        <v>0.56999999999999995</v>
      </c>
      <c r="G60" s="12">
        <v>22</v>
      </c>
      <c r="H60" s="8">
        <v>2.66</v>
      </c>
      <c r="I60" s="12">
        <v>0</v>
      </c>
    </row>
    <row r="61" spans="2:9" ht="15" customHeight="1" x14ac:dyDescent="0.2">
      <c r="B61" t="s">
        <v>177</v>
      </c>
      <c r="C61" s="12">
        <v>23</v>
      </c>
      <c r="D61" s="8">
        <v>1.49</v>
      </c>
      <c r="E61" s="12">
        <v>1</v>
      </c>
      <c r="F61" s="8">
        <v>0.14000000000000001</v>
      </c>
      <c r="G61" s="12">
        <v>22</v>
      </c>
      <c r="H61" s="8">
        <v>2.66</v>
      </c>
      <c r="I61" s="12">
        <v>0</v>
      </c>
    </row>
    <row r="62" spans="2:9" ht="15" customHeight="1" x14ac:dyDescent="0.2">
      <c r="B62" t="s">
        <v>162</v>
      </c>
      <c r="C62" s="12">
        <v>23</v>
      </c>
      <c r="D62" s="8">
        <v>1.49</v>
      </c>
      <c r="E62" s="12">
        <v>11</v>
      </c>
      <c r="F62" s="8">
        <v>1.56</v>
      </c>
      <c r="G62" s="12">
        <v>12</v>
      </c>
      <c r="H62" s="8">
        <v>1.45</v>
      </c>
      <c r="I62" s="12">
        <v>0</v>
      </c>
    </row>
    <row r="63" spans="2:9" ht="15" customHeight="1" x14ac:dyDescent="0.2">
      <c r="B63" t="s">
        <v>168</v>
      </c>
      <c r="C63" s="12">
        <v>22</v>
      </c>
      <c r="D63" s="8">
        <v>1.43</v>
      </c>
      <c r="E63" s="12">
        <v>2</v>
      </c>
      <c r="F63" s="8">
        <v>0.28000000000000003</v>
      </c>
      <c r="G63" s="12">
        <v>20</v>
      </c>
      <c r="H63" s="8">
        <v>2.42</v>
      </c>
      <c r="I63" s="12">
        <v>0</v>
      </c>
    </row>
    <row r="64" spans="2:9" ht="15" customHeight="1" x14ac:dyDescent="0.2">
      <c r="B64" t="s">
        <v>189</v>
      </c>
      <c r="C64" s="12">
        <v>21</v>
      </c>
      <c r="D64" s="8">
        <v>1.36</v>
      </c>
      <c r="E64" s="12">
        <v>12</v>
      </c>
      <c r="F64" s="8">
        <v>1.7</v>
      </c>
      <c r="G64" s="12">
        <v>9</v>
      </c>
      <c r="H64" s="8">
        <v>1.0900000000000001</v>
      </c>
      <c r="I64" s="12">
        <v>0</v>
      </c>
    </row>
    <row r="65" spans="2:9" ht="15" customHeight="1" x14ac:dyDescent="0.2">
      <c r="B65" t="s">
        <v>182</v>
      </c>
      <c r="C65" s="12">
        <v>19</v>
      </c>
      <c r="D65" s="8">
        <v>1.23</v>
      </c>
      <c r="E65" s="12">
        <v>1</v>
      </c>
      <c r="F65" s="8">
        <v>0.14000000000000001</v>
      </c>
      <c r="G65" s="12">
        <v>18</v>
      </c>
      <c r="H65" s="8">
        <v>2.1800000000000002</v>
      </c>
      <c r="I65" s="12">
        <v>0</v>
      </c>
    </row>
    <row r="66" spans="2:9" ht="15" customHeight="1" x14ac:dyDescent="0.2">
      <c r="B66" t="s">
        <v>188</v>
      </c>
      <c r="C66" s="12">
        <v>19</v>
      </c>
      <c r="D66" s="8">
        <v>1.23</v>
      </c>
      <c r="E66" s="12">
        <v>13</v>
      </c>
      <c r="F66" s="8">
        <v>1.84</v>
      </c>
      <c r="G66" s="12">
        <v>6</v>
      </c>
      <c r="H66" s="8">
        <v>0.73</v>
      </c>
      <c r="I66" s="12">
        <v>0</v>
      </c>
    </row>
    <row r="67" spans="2:9" ht="15" customHeight="1" x14ac:dyDescent="0.2">
      <c r="B67" t="s">
        <v>178</v>
      </c>
      <c r="C67" s="12">
        <v>19</v>
      </c>
      <c r="D67" s="8">
        <v>1.23</v>
      </c>
      <c r="E67" s="12">
        <v>4</v>
      </c>
      <c r="F67" s="8">
        <v>0.56999999999999995</v>
      </c>
      <c r="G67" s="12">
        <v>15</v>
      </c>
      <c r="H67" s="8">
        <v>1.81</v>
      </c>
      <c r="I67" s="12">
        <v>0</v>
      </c>
    </row>
    <row r="69" spans="2:9" ht="15" customHeight="1" x14ac:dyDescent="0.2">
      <c r="B69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79545-43AC-4973-93B1-57661C302CF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303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400</v>
      </c>
      <c r="D6" s="8">
        <v>13.71</v>
      </c>
      <c r="E6" s="12">
        <v>43</v>
      </c>
      <c r="F6" s="8">
        <v>4.71</v>
      </c>
      <c r="G6" s="12">
        <v>357</v>
      </c>
      <c r="H6" s="8">
        <v>17.89</v>
      </c>
      <c r="I6" s="12">
        <v>0</v>
      </c>
    </row>
    <row r="7" spans="2:9" ht="15" customHeight="1" x14ac:dyDescent="0.2">
      <c r="B7" t="s">
        <v>76</v>
      </c>
      <c r="C7" s="12">
        <v>499</v>
      </c>
      <c r="D7" s="8">
        <v>17.11</v>
      </c>
      <c r="E7" s="12">
        <v>87</v>
      </c>
      <c r="F7" s="8">
        <v>9.5299999999999994</v>
      </c>
      <c r="G7" s="12">
        <v>412</v>
      </c>
      <c r="H7" s="8">
        <v>20.64</v>
      </c>
      <c r="I7" s="12">
        <v>0</v>
      </c>
    </row>
    <row r="8" spans="2:9" ht="15" customHeight="1" x14ac:dyDescent="0.2">
      <c r="B8" t="s">
        <v>77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0.05</v>
      </c>
      <c r="I8" s="12">
        <v>0</v>
      </c>
    </row>
    <row r="9" spans="2:9" ht="15" customHeight="1" x14ac:dyDescent="0.2">
      <c r="B9" t="s">
        <v>78</v>
      </c>
      <c r="C9" s="12">
        <v>38</v>
      </c>
      <c r="D9" s="8">
        <v>1.3</v>
      </c>
      <c r="E9" s="12">
        <v>1</v>
      </c>
      <c r="F9" s="8">
        <v>0.11</v>
      </c>
      <c r="G9" s="12">
        <v>36</v>
      </c>
      <c r="H9" s="8">
        <v>1.8</v>
      </c>
      <c r="I9" s="12">
        <v>1</v>
      </c>
    </row>
    <row r="10" spans="2:9" ht="15" customHeight="1" x14ac:dyDescent="0.2">
      <c r="B10" t="s">
        <v>79</v>
      </c>
      <c r="C10" s="12">
        <v>65</v>
      </c>
      <c r="D10" s="8">
        <v>2.23</v>
      </c>
      <c r="E10" s="12">
        <v>3</v>
      </c>
      <c r="F10" s="8">
        <v>0.33</v>
      </c>
      <c r="G10" s="12">
        <v>62</v>
      </c>
      <c r="H10" s="8">
        <v>3.11</v>
      </c>
      <c r="I10" s="12">
        <v>0</v>
      </c>
    </row>
    <row r="11" spans="2:9" ht="15" customHeight="1" x14ac:dyDescent="0.2">
      <c r="B11" t="s">
        <v>80</v>
      </c>
      <c r="C11" s="12">
        <v>417</v>
      </c>
      <c r="D11" s="8">
        <v>14.3</v>
      </c>
      <c r="E11" s="12">
        <v>114</v>
      </c>
      <c r="F11" s="8">
        <v>12.49</v>
      </c>
      <c r="G11" s="12">
        <v>303</v>
      </c>
      <c r="H11" s="8">
        <v>15.18</v>
      </c>
      <c r="I11" s="12">
        <v>0</v>
      </c>
    </row>
    <row r="12" spans="2:9" ht="15" customHeight="1" x14ac:dyDescent="0.2">
      <c r="B12" t="s">
        <v>81</v>
      </c>
      <c r="C12" s="12">
        <v>7</v>
      </c>
      <c r="D12" s="8">
        <v>0.24</v>
      </c>
      <c r="E12" s="12">
        <v>0</v>
      </c>
      <c r="F12" s="8">
        <v>0</v>
      </c>
      <c r="G12" s="12">
        <v>7</v>
      </c>
      <c r="H12" s="8">
        <v>0.35</v>
      </c>
      <c r="I12" s="12">
        <v>0</v>
      </c>
    </row>
    <row r="13" spans="2:9" ht="15" customHeight="1" x14ac:dyDescent="0.2">
      <c r="B13" t="s">
        <v>82</v>
      </c>
      <c r="C13" s="12">
        <v>578</v>
      </c>
      <c r="D13" s="8">
        <v>19.809999999999999</v>
      </c>
      <c r="E13" s="12">
        <v>135</v>
      </c>
      <c r="F13" s="8">
        <v>14.79</v>
      </c>
      <c r="G13" s="12">
        <v>443</v>
      </c>
      <c r="H13" s="8">
        <v>22.19</v>
      </c>
      <c r="I13" s="12">
        <v>0</v>
      </c>
    </row>
    <row r="14" spans="2:9" ht="15" customHeight="1" x14ac:dyDescent="0.2">
      <c r="B14" t="s">
        <v>83</v>
      </c>
      <c r="C14" s="12">
        <v>132</v>
      </c>
      <c r="D14" s="8">
        <v>4.53</v>
      </c>
      <c r="E14" s="12">
        <v>55</v>
      </c>
      <c r="F14" s="8">
        <v>6.02</v>
      </c>
      <c r="G14" s="12">
        <v>76</v>
      </c>
      <c r="H14" s="8">
        <v>3.81</v>
      </c>
      <c r="I14" s="12">
        <v>0</v>
      </c>
    </row>
    <row r="15" spans="2:9" ht="15" customHeight="1" x14ac:dyDescent="0.2">
      <c r="B15" t="s">
        <v>84</v>
      </c>
      <c r="C15" s="12">
        <v>196</v>
      </c>
      <c r="D15" s="8">
        <v>6.72</v>
      </c>
      <c r="E15" s="12">
        <v>139</v>
      </c>
      <c r="F15" s="8">
        <v>15.22</v>
      </c>
      <c r="G15" s="12">
        <v>57</v>
      </c>
      <c r="H15" s="8">
        <v>2.86</v>
      </c>
      <c r="I15" s="12">
        <v>0</v>
      </c>
    </row>
    <row r="16" spans="2:9" ht="15" customHeight="1" x14ac:dyDescent="0.2">
      <c r="B16" t="s">
        <v>85</v>
      </c>
      <c r="C16" s="12">
        <v>240</v>
      </c>
      <c r="D16" s="8">
        <v>8.23</v>
      </c>
      <c r="E16" s="12">
        <v>171</v>
      </c>
      <c r="F16" s="8">
        <v>18.73</v>
      </c>
      <c r="G16" s="12">
        <v>69</v>
      </c>
      <c r="H16" s="8">
        <v>3.46</v>
      </c>
      <c r="I16" s="12">
        <v>0</v>
      </c>
    </row>
    <row r="17" spans="2:9" ht="15" customHeight="1" x14ac:dyDescent="0.2">
      <c r="B17" t="s">
        <v>86</v>
      </c>
      <c r="C17" s="12">
        <v>110</v>
      </c>
      <c r="D17" s="8">
        <v>3.77</v>
      </c>
      <c r="E17" s="12">
        <v>73</v>
      </c>
      <c r="F17" s="8">
        <v>8</v>
      </c>
      <c r="G17" s="12">
        <v>36</v>
      </c>
      <c r="H17" s="8">
        <v>1.8</v>
      </c>
      <c r="I17" s="12">
        <v>0</v>
      </c>
    </row>
    <row r="18" spans="2:9" ht="15" customHeight="1" x14ac:dyDescent="0.2">
      <c r="B18" t="s">
        <v>87</v>
      </c>
      <c r="C18" s="12">
        <v>118</v>
      </c>
      <c r="D18" s="8">
        <v>4.05</v>
      </c>
      <c r="E18" s="12">
        <v>65</v>
      </c>
      <c r="F18" s="8">
        <v>7.12</v>
      </c>
      <c r="G18" s="12">
        <v>50</v>
      </c>
      <c r="H18" s="8">
        <v>2.5099999999999998</v>
      </c>
      <c r="I18" s="12">
        <v>0</v>
      </c>
    </row>
    <row r="19" spans="2:9" ht="15" customHeight="1" x14ac:dyDescent="0.2">
      <c r="B19" t="s">
        <v>88</v>
      </c>
      <c r="C19" s="12">
        <v>116</v>
      </c>
      <c r="D19" s="8">
        <v>3.98</v>
      </c>
      <c r="E19" s="12">
        <v>27</v>
      </c>
      <c r="F19" s="8">
        <v>2.96</v>
      </c>
      <c r="G19" s="12">
        <v>87</v>
      </c>
      <c r="H19" s="8">
        <v>4.3600000000000003</v>
      </c>
      <c r="I19" s="12">
        <v>2</v>
      </c>
    </row>
    <row r="20" spans="2:9" ht="15" customHeight="1" x14ac:dyDescent="0.2">
      <c r="B20" s="9" t="s">
        <v>269</v>
      </c>
      <c r="C20" s="12">
        <f>SUM(LTBL_11224[総数／事業所数])</f>
        <v>2917</v>
      </c>
      <c r="E20" s="12">
        <f>SUBTOTAL(109,LTBL_11224[個人／事業所数])</f>
        <v>913</v>
      </c>
      <c r="G20" s="12">
        <f>SUBTOTAL(109,LTBL_11224[法人／事業所数])</f>
        <v>1996</v>
      </c>
      <c r="I20" s="12">
        <f>SUBTOTAL(109,LTBL_11224[法人以外の団体／事業所数])</f>
        <v>3</v>
      </c>
    </row>
    <row r="21" spans="2:9" ht="15" customHeight="1" x14ac:dyDescent="0.2">
      <c r="E21" s="11">
        <f>LTBL_11224[[#Totals],[個人／事業所数]]/LTBL_11224[[#Totals],[総数／事業所数]]</f>
        <v>0.3129928008227631</v>
      </c>
      <c r="G21" s="11">
        <f>LTBL_11224[[#Totals],[法人／事業所数]]/LTBL_11224[[#Totals],[総数／事業所数]]</f>
        <v>0.68426465546794657</v>
      </c>
      <c r="I21" s="11">
        <f>LTBL_11224[[#Totals],[法人以外の団体／事業所数]]/LTBL_11224[[#Totals],[総数／事業所数]]</f>
        <v>1.0284538909838875E-3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108</v>
      </c>
      <c r="C24" s="12">
        <v>524</v>
      </c>
      <c r="D24" s="8">
        <v>17.96</v>
      </c>
      <c r="E24" s="12">
        <v>131</v>
      </c>
      <c r="F24" s="8">
        <v>14.35</v>
      </c>
      <c r="G24" s="12">
        <v>393</v>
      </c>
      <c r="H24" s="8">
        <v>19.690000000000001</v>
      </c>
      <c r="I24" s="12">
        <v>0</v>
      </c>
    </row>
    <row r="25" spans="2:9" ht="15" customHeight="1" x14ac:dyDescent="0.2">
      <c r="B25" t="s">
        <v>112</v>
      </c>
      <c r="C25" s="12">
        <v>208</v>
      </c>
      <c r="D25" s="8">
        <v>7.13</v>
      </c>
      <c r="E25" s="12">
        <v>157</v>
      </c>
      <c r="F25" s="8">
        <v>17.2</v>
      </c>
      <c r="G25" s="12">
        <v>51</v>
      </c>
      <c r="H25" s="8">
        <v>2.56</v>
      </c>
      <c r="I25" s="12">
        <v>0</v>
      </c>
    </row>
    <row r="26" spans="2:9" ht="15" customHeight="1" x14ac:dyDescent="0.2">
      <c r="B26" t="s">
        <v>111</v>
      </c>
      <c r="C26" s="12">
        <v>172</v>
      </c>
      <c r="D26" s="8">
        <v>5.9</v>
      </c>
      <c r="E26" s="12">
        <v>134</v>
      </c>
      <c r="F26" s="8">
        <v>14.68</v>
      </c>
      <c r="G26" s="12">
        <v>38</v>
      </c>
      <c r="H26" s="8">
        <v>1.9</v>
      </c>
      <c r="I26" s="12">
        <v>0</v>
      </c>
    </row>
    <row r="27" spans="2:9" ht="15" customHeight="1" x14ac:dyDescent="0.2">
      <c r="B27" t="s">
        <v>98</v>
      </c>
      <c r="C27" s="12">
        <v>150</v>
      </c>
      <c r="D27" s="8">
        <v>5.14</v>
      </c>
      <c r="E27" s="12">
        <v>22</v>
      </c>
      <c r="F27" s="8">
        <v>2.41</v>
      </c>
      <c r="G27" s="12">
        <v>128</v>
      </c>
      <c r="H27" s="8">
        <v>6.41</v>
      </c>
      <c r="I27" s="12">
        <v>0</v>
      </c>
    </row>
    <row r="28" spans="2:9" ht="15" customHeight="1" x14ac:dyDescent="0.2">
      <c r="B28" t="s">
        <v>97</v>
      </c>
      <c r="C28" s="12">
        <v>135</v>
      </c>
      <c r="D28" s="8">
        <v>4.63</v>
      </c>
      <c r="E28" s="12">
        <v>10</v>
      </c>
      <c r="F28" s="8">
        <v>1.1000000000000001</v>
      </c>
      <c r="G28" s="12">
        <v>125</v>
      </c>
      <c r="H28" s="8">
        <v>6.26</v>
      </c>
      <c r="I28" s="12">
        <v>0</v>
      </c>
    </row>
    <row r="29" spans="2:9" ht="15" customHeight="1" x14ac:dyDescent="0.2">
      <c r="B29" t="s">
        <v>99</v>
      </c>
      <c r="C29" s="12">
        <v>115</v>
      </c>
      <c r="D29" s="8">
        <v>3.94</v>
      </c>
      <c r="E29" s="12">
        <v>11</v>
      </c>
      <c r="F29" s="8">
        <v>1.2</v>
      </c>
      <c r="G29" s="12">
        <v>104</v>
      </c>
      <c r="H29" s="8">
        <v>5.21</v>
      </c>
      <c r="I29" s="12">
        <v>0</v>
      </c>
    </row>
    <row r="30" spans="2:9" ht="15" customHeight="1" x14ac:dyDescent="0.2">
      <c r="B30" t="s">
        <v>114</v>
      </c>
      <c r="C30" s="12">
        <v>110</v>
      </c>
      <c r="D30" s="8">
        <v>3.77</v>
      </c>
      <c r="E30" s="12">
        <v>73</v>
      </c>
      <c r="F30" s="8">
        <v>8</v>
      </c>
      <c r="G30" s="12">
        <v>36</v>
      </c>
      <c r="H30" s="8">
        <v>1.8</v>
      </c>
      <c r="I30" s="12">
        <v>0</v>
      </c>
    </row>
    <row r="31" spans="2:9" ht="15" customHeight="1" x14ac:dyDescent="0.2">
      <c r="B31" t="s">
        <v>100</v>
      </c>
      <c r="C31" s="12">
        <v>90</v>
      </c>
      <c r="D31" s="8">
        <v>3.09</v>
      </c>
      <c r="E31" s="12">
        <v>13</v>
      </c>
      <c r="F31" s="8">
        <v>1.42</v>
      </c>
      <c r="G31" s="12">
        <v>77</v>
      </c>
      <c r="H31" s="8">
        <v>3.86</v>
      </c>
      <c r="I31" s="12">
        <v>0</v>
      </c>
    </row>
    <row r="32" spans="2:9" ht="15" customHeight="1" x14ac:dyDescent="0.2">
      <c r="B32" t="s">
        <v>131</v>
      </c>
      <c r="C32" s="12">
        <v>87</v>
      </c>
      <c r="D32" s="8">
        <v>2.98</v>
      </c>
      <c r="E32" s="12">
        <v>13</v>
      </c>
      <c r="F32" s="8">
        <v>1.42</v>
      </c>
      <c r="G32" s="12">
        <v>74</v>
      </c>
      <c r="H32" s="8">
        <v>3.71</v>
      </c>
      <c r="I32" s="12">
        <v>0</v>
      </c>
    </row>
    <row r="33" spans="2:9" ht="15" customHeight="1" x14ac:dyDescent="0.2">
      <c r="B33" t="s">
        <v>106</v>
      </c>
      <c r="C33" s="12">
        <v>86</v>
      </c>
      <c r="D33" s="8">
        <v>2.95</v>
      </c>
      <c r="E33" s="12">
        <v>33</v>
      </c>
      <c r="F33" s="8">
        <v>3.61</v>
      </c>
      <c r="G33" s="12">
        <v>53</v>
      </c>
      <c r="H33" s="8">
        <v>2.66</v>
      </c>
      <c r="I33" s="12">
        <v>0</v>
      </c>
    </row>
    <row r="34" spans="2:9" ht="15" customHeight="1" x14ac:dyDescent="0.2">
      <c r="B34" t="s">
        <v>109</v>
      </c>
      <c r="C34" s="12">
        <v>79</v>
      </c>
      <c r="D34" s="8">
        <v>2.71</v>
      </c>
      <c r="E34" s="12">
        <v>37</v>
      </c>
      <c r="F34" s="8">
        <v>4.05</v>
      </c>
      <c r="G34" s="12">
        <v>42</v>
      </c>
      <c r="H34" s="8">
        <v>2.1</v>
      </c>
      <c r="I34" s="12">
        <v>0</v>
      </c>
    </row>
    <row r="35" spans="2:9" ht="15" customHeight="1" x14ac:dyDescent="0.2">
      <c r="B35" t="s">
        <v>115</v>
      </c>
      <c r="C35" s="12">
        <v>79</v>
      </c>
      <c r="D35" s="8">
        <v>2.71</v>
      </c>
      <c r="E35" s="12">
        <v>65</v>
      </c>
      <c r="F35" s="8">
        <v>7.12</v>
      </c>
      <c r="G35" s="12">
        <v>13</v>
      </c>
      <c r="H35" s="8">
        <v>0.65</v>
      </c>
      <c r="I35" s="12">
        <v>0</v>
      </c>
    </row>
    <row r="36" spans="2:9" ht="15" customHeight="1" x14ac:dyDescent="0.2">
      <c r="B36" t="s">
        <v>120</v>
      </c>
      <c r="C36" s="12">
        <v>67</v>
      </c>
      <c r="D36" s="8">
        <v>2.2999999999999998</v>
      </c>
      <c r="E36" s="12">
        <v>6</v>
      </c>
      <c r="F36" s="8">
        <v>0.66</v>
      </c>
      <c r="G36" s="12">
        <v>61</v>
      </c>
      <c r="H36" s="8">
        <v>3.06</v>
      </c>
      <c r="I36" s="12">
        <v>0</v>
      </c>
    </row>
    <row r="37" spans="2:9" ht="15" customHeight="1" x14ac:dyDescent="0.2">
      <c r="B37" t="s">
        <v>105</v>
      </c>
      <c r="C37" s="12">
        <v>66</v>
      </c>
      <c r="D37" s="8">
        <v>2.2599999999999998</v>
      </c>
      <c r="E37" s="12">
        <v>23</v>
      </c>
      <c r="F37" s="8">
        <v>2.52</v>
      </c>
      <c r="G37" s="12">
        <v>43</v>
      </c>
      <c r="H37" s="8">
        <v>2.15</v>
      </c>
      <c r="I37" s="12">
        <v>0</v>
      </c>
    </row>
    <row r="38" spans="2:9" ht="15" customHeight="1" x14ac:dyDescent="0.2">
      <c r="B38" t="s">
        <v>101</v>
      </c>
      <c r="C38" s="12">
        <v>63</v>
      </c>
      <c r="D38" s="8">
        <v>2.16</v>
      </c>
      <c r="E38" s="12">
        <v>6</v>
      </c>
      <c r="F38" s="8">
        <v>0.66</v>
      </c>
      <c r="G38" s="12">
        <v>57</v>
      </c>
      <c r="H38" s="8">
        <v>2.86</v>
      </c>
      <c r="I38" s="12">
        <v>0</v>
      </c>
    </row>
    <row r="39" spans="2:9" ht="15" customHeight="1" x14ac:dyDescent="0.2">
      <c r="B39" t="s">
        <v>104</v>
      </c>
      <c r="C39" s="12">
        <v>56</v>
      </c>
      <c r="D39" s="8">
        <v>1.92</v>
      </c>
      <c r="E39" s="12">
        <v>39</v>
      </c>
      <c r="F39" s="8">
        <v>4.2699999999999996</v>
      </c>
      <c r="G39" s="12">
        <v>17</v>
      </c>
      <c r="H39" s="8">
        <v>0.85</v>
      </c>
      <c r="I39" s="12">
        <v>0</v>
      </c>
    </row>
    <row r="40" spans="2:9" ht="15" customHeight="1" x14ac:dyDescent="0.2">
      <c r="B40" t="s">
        <v>110</v>
      </c>
      <c r="C40" s="12">
        <v>50</v>
      </c>
      <c r="D40" s="8">
        <v>1.71</v>
      </c>
      <c r="E40" s="12">
        <v>18</v>
      </c>
      <c r="F40" s="8">
        <v>1.97</v>
      </c>
      <c r="G40" s="12">
        <v>31</v>
      </c>
      <c r="H40" s="8">
        <v>1.55</v>
      </c>
      <c r="I40" s="12">
        <v>0</v>
      </c>
    </row>
    <row r="41" spans="2:9" ht="15" customHeight="1" x14ac:dyDescent="0.2">
      <c r="B41" t="s">
        <v>119</v>
      </c>
      <c r="C41" s="12">
        <v>47</v>
      </c>
      <c r="D41" s="8">
        <v>1.61</v>
      </c>
      <c r="E41" s="12">
        <v>3</v>
      </c>
      <c r="F41" s="8">
        <v>0.33</v>
      </c>
      <c r="G41" s="12">
        <v>42</v>
      </c>
      <c r="H41" s="8">
        <v>2.1</v>
      </c>
      <c r="I41" s="12">
        <v>2</v>
      </c>
    </row>
    <row r="42" spans="2:9" ht="15" customHeight="1" x14ac:dyDescent="0.2">
      <c r="B42" t="s">
        <v>102</v>
      </c>
      <c r="C42" s="12">
        <v>45</v>
      </c>
      <c r="D42" s="8">
        <v>1.54</v>
      </c>
      <c r="E42" s="12">
        <v>2</v>
      </c>
      <c r="F42" s="8">
        <v>0.22</v>
      </c>
      <c r="G42" s="12">
        <v>43</v>
      </c>
      <c r="H42" s="8">
        <v>2.15</v>
      </c>
      <c r="I42" s="12">
        <v>0</v>
      </c>
    </row>
    <row r="43" spans="2:9" ht="15" customHeight="1" x14ac:dyDescent="0.2">
      <c r="B43" t="s">
        <v>107</v>
      </c>
      <c r="C43" s="12">
        <v>45</v>
      </c>
      <c r="D43" s="8">
        <v>1.54</v>
      </c>
      <c r="E43" s="12">
        <v>3</v>
      </c>
      <c r="F43" s="8">
        <v>0.33</v>
      </c>
      <c r="G43" s="12">
        <v>42</v>
      </c>
      <c r="H43" s="8">
        <v>2.1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167</v>
      </c>
      <c r="C47" s="12">
        <v>244</v>
      </c>
      <c r="D47" s="8">
        <v>8.36</v>
      </c>
      <c r="E47" s="12">
        <v>114</v>
      </c>
      <c r="F47" s="8">
        <v>12.49</v>
      </c>
      <c r="G47" s="12">
        <v>130</v>
      </c>
      <c r="H47" s="8">
        <v>6.51</v>
      </c>
      <c r="I47" s="12">
        <v>0</v>
      </c>
    </row>
    <row r="48" spans="2:9" ht="15" customHeight="1" x14ac:dyDescent="0.2">
      <c r="B48" t="s">
        <v>166</v>
      </c>
      <c r="C48" s="12">
        <v>199</v>
      </c>
      <c r="D48" s="8">
        <v>6.82</v>
      </c>
      <c r="E48" s="12">
        <v>2</v>
      </c>
      <c r="F48" s="8">
        <v>0.22</v>
      </c>
      <c r="G48" s="12">
        <v>197</v>
      </c>
      <c r="H48" s="8">
        <v>9.8699999999999992</v>
      </c>
      <c r="I48" s="12">
        <v>0</v>
      </c>
    </row>
    <row r="49" spans="2:9" ht="15" customHeight="1" x14ac:dyDescent="0.2">
      <c r="B49" t="s">
        <v>173</v>
      </c>
      <c r="C49" s="12">
        <v>95</v>
      </c>
      <c r="D49" s="8">
        <v>3.26</v>
      </c>
      <c r="E49" s="12">
        <v>72</v>
      </c>
      <c r="F49" s="8">
        <v>7.89</v>
      </c>
      <c r="G49" s="12">
        <v>23</v>
      </c>
      <c r="H49" s="8">
        <v>1.1499999999999999</v>
      </c>
      <c r="I49" s="12">
        <v>0</v>
      </c>
    </row>
    <row r="50" spans="2:9" ht="15" customHeight="1" x14ac:dyDescent="0.2">
      <c r="B50" t="s">
        <v>170</v>
      </c>
      <c r="C50" s="12">
        <v>68</v>
      </c>
      <c r="D50" s="8">
        <v>2.33</v>
      </c>
      <c r="E50" s="12">
        <v>64</v>
      </c>
      <c r="F50" s="8">
        <v>7.01</v>
      </c>
      <c r="G50" s="12">
        <v>4</v>
      </c>
      <c r="H50" s="8">
        <v>0.2</v>
      </c>
      <c r="I50" s="12">
        <v>0</v>
      </c>
    </row>
    <row r="51" spans="2:9" ht="15" customHeight="1" x14ac:dyDescent="0.2">
      <c r="B51" t="s">
        <v>174</v>
      </c>
      <c r="C51" s="12">
        <v>68</v>
      </c>
      <c r="D51" s="8">
        <v>2.33</v>
      </c>
      <c r="E51" s="12">
        <v>50</v>
      </c>
      <c r="F51" s="8">
        <v>5.48</v>
      </c>
      <c r="G51" s="12">
        <v>18</v>
      </c>
      <c r="H51" s="8">
        <v>0.9</v>
      </c>
      <c r="I51" s="12">
        <v>0</v>
      </c>
    </row>
    <row r="52" spans="2:9" ht="15" customHeight="1" x14ac:dyDescent="0.2">
      <c r="B52" t="s">
        <v>172</v>
      </c>
      <c r="C52" s="12">
        <v>62</v>
      </c>
      <c r="D52" s="8">
        <v>2.13</v>
      </c>
      <c r="E52" s="12">
        <v>58</v>
      </c>
      <c r="F52" s="8">
        <v>6.35</v>
      </c>
      <c r="G52" s="12">
        <v>4</v>
      </c>
      <c r="H52" s="8">
        <v>0.2</v>
      </c>
      <c r="I52" s="12">
        <v>0</v>
      </c>
    </row>
    <row r="53" spans="2:9" ht="15" customHeight="1" x14ac:dyDescent="0.2">
      <c r="B53" t="s">
        <v>175</v>
      </c>
      <c r="C53" s="12">
        <v>54</v>
      </c>
      <c r="D53" s="8">
        <v>1.85</v>
      </c>
      <c r="E53" s="12">
        <v>44</v>
      </c>
      <c r="F53" s="8">
        <v>4.82</v>
      </c>
      <c r="G53" s="12">
        <v>10</v>
      </c>
      <c r="H53" s="8">
        <v>0.5</v>
      </c>
      <c r="I53" s="12">
        <v>0</v>
      </c>
    </row>
    <row r="54" spans="2:9" ht="15" customHeight="1" x14ac:dyDescent="0.2">
      <c r="B54" t="s">
        <v>208</v>
      </c>
      <c r="C54" s="12">
        <v>50</v>
      </c>
      <c r="D54" s="8">
        <v>1.71</v>
      </c>
      <c r="E54" s="12">
        <v>7</v>
      </c>
      <c r="F54" s="8">
        <v>0.77</v>
      </c>
      <c r="G54" s="12">
        <v>43</v>
      </c>
      <c r="H54" s="8">
        <v>2.15</v>
      </c>
      <c r="I54" s="12">
        <v>0</v>
      </c>
    </row>
    <row r="55" spans="2:9" ht="15" customHeight="1" x14ac:dyDescent="0.2">
      <c r="B55" t="s">
        <v>168</v>
      </c>
      <c r="C55" s="12">
        <v>50</v>
      </c>
      <c r="D55" s="8">
        <v>1.71</v>
      </c>
      <c r="E55" s="12">
        <v>2</v>
      </c>
      <c r="F55" s="8">
        <v>0.22</v>
      </c>
      <c r="G55" s="12">
        <v>48</v>
      </c>
      <c r="H55" s="8">
        <v>2.4</v>
      </c>
      <c r="I55" s="12">
        <v>0</v>
      </c>
    </row>
    <row r="56" spans="2:9" ht="15" customHeight="1" x14ac:dyDescent="0.2">
      <c r="B56" t="s">
        <v>197</v>
      </c>
      <c r="C56" s="12">
        <v>47</v>
      </c>
      <c r="D56" s="8">
        <v>1.61</v>
      </c>
      <c r="E56" s="12">
        <v>9</v>
      </c>
      <c r="F56" s="8">
        <v>0.99</v>
      </c>
      <c r="G56" s="12">
        <v>38</v>
      </c>
      <c r="H56" s="8">
        <v>1.9</v>
      </c>
      <c r="I56" s="12">
        <v>0</v>
      </c>
    </row>
    <row r="57" spans="2:9" ht="15" customHeight="1" x14ac:dyDescent="0.2">
      <c r="B57" t="s">
        <v>161</v>
      </c>
      <c r="C57" s="12">
        <v>45</v>
      </c>
      <c r="D57" s="8">
        <v>1.54</v>
      </c>
      <c r="E57" s="12">
        <v>6</v>
      </c>
      <c r="F57" s="8">
        <v>0.66</v>
      </c>
      <c r="G57" s="12">
        <v>39</v>
      </c>
      <c r="H57" s="8">
        <v>1.95</v>
      </c>
      <c r="I57" s="12">
        <v>0</v>
      </c>
    </row>
    <row r="58" spans="2:9" ht="15" customHeight="1" x14ac:dyDescent="0.2">
      <c r="B58" t="s">
        <v>169</v>
      </c>
      <c r="C58" s="12">
        <v>44</v>
      </c>
      <c r="D58" s="8">
        <v>1.51</v>
      </c>
      <c r="E58" s="12">
        <v>29</v>
      </c>
      <c r="F58" s="8">
        <v>3.18</v>
      </c>
      <c r="G58" s="12">
        <v>15</v>
      </c>
      <c r="H58" s="8">
        <v>0.75</v>
      </c>
      <c r="I58" s="12">
        <v>0</v>
      </c>
    </row>
    <row r="59" spans="2:9" ht="15" customHeight="1" x14ac:dyDescent="0.2">
      <c r="B59" t="s">
        <v>158</v>
      </c>
      <c r="C59" s="12">
        <v>40</v>
      </c>
      <c r="D59" s="8">
        <v>1.37</v>
      </c>
      <c r="E59" s="12">
        <v>1</v>
      </c>
      <c r="F59" s="8">
        <v>0.11</v>
      </c>
      <c r="G59" s="12">
        <v>39</v>
      </c>
      <c r="H59" s="8">
        <v>1.95</v>
      </c>
      <c r="I59" s="12">
        <v>0</v>
      </c>
    </row>
    <row r="60" spans="2:9" ht="15" customHeight="1" x14ac:dyDescent="0.2">
      <c r="B60" t="s">
        <v>163</v>
      </c>
      <c r="C60" s="12">
        <v>40</v>
      </c>
      <c r="D60" s="8">
        <v>1.37</v>
      </c>
      <c r="E60" s="12">
        <v>13</v>
      </c>
      <c r="F60" s="8">
        <v>1.42</v>
      </c>
      <c r="G60" s="12">
        <v>27</v>
      </c>
      <c r="H60" s="8">
        <v>1.35</v>
      </c>
      <c r="I60" s="12">
        <v>0</v>
      </c>
    </row>
    <row r="61" spans="2:9" ht="15" customHeight="1" x14ac:dyDescent="0.2">
      <c r="B61" t="s">
        <v>171</v>
      </c>
      <c r="C61" s="12">
        <v>38</v>
      </c>
      <c r="D61" s="8">
        <v>1.3</v>
      </c>
      <c r="E61" s="12">
        <v>19</v>
      </c>
      <c r="F61" s="8">
        <v>2.08</v>
      </c>
      <c r="G61" s="12">
        <v>19</v>
      </c>
      <c r="H61" s="8">
        <v>0.95</v>
      </c>
      <c r="I61" s="12">
        <v>0</v>
      </c>
    </row>
    <row r="62" spans="2:9" ht="15" customHeight="1" x14ac:dyDescent="0.2">
      <c r="B62" t="s">
        <v>165</v>
      </c>
      <c r="C62" s="12">
        <v>36</v>
      </c>
      <c r="D62" s="8">
        <v>1.23</v>
      </c>
      <c r="E62" s="12">
        <v>3</v>
      </c>
      <c r="F62" s="8">
        <v>0.33</v>
      </c>
      <c r="G62" s="12">
        <v>33</v>
      </c>
      <c r="H62" s="8">
        <v>1.65</v>
      </c>
      <c r="I62" s="12">
        <v>0</v>
      </c>
    </row>
    <row r="63" spans="2:9" ht="15" customHeight="1" x14ac:dyDescent="0.2">
      <c r="B63" t="s">
        <v>176</v>
      </c>
      <c r="C63" s="12">
        <v>36</v>
      </c>
      <c r="D63" s="8">
        <v>1.23</v>
      </c>
      <c r="E63" s="12">
        <v>16</v>
      </c>
      <c r="F63" s="8">
        <v>1.75</v>
      </c>
      <c r="G63" s="12">
        <v>20</v>
      </c>
      <c r="H63" s="8">
        <v>1</v>
      </c>
      <c r="I63" s="12">
        <v>0</v>
      </c>
    </row>
    <row r="64" spans="2:9" ht="15" customHeight="1" x14ac:dyDescent="0.2">
      <c r="B64" t="s">
        <v>177</v>
      </c>
      <c r="C64" s="12">
        <v>35</v>
      </c>
      <c r="D64" s="8">
        <v>1.2</v>
      </c>
      <c r="E64" s="12">
        <v>3</v>
      </c>
      <c r="F64" s="8">
        <v>0.33</v>
      </c>
      <c r="G64" s="12">
        <v>32</v>
      </c>
      <c r="H64" s="8">
        <v>1.6</v>
      </c>
      <c r="I64" s="12">
        <v>0</v>
      </c>
    </row>
    <row r="65" spans="2:9" ht="15" customHeight="1" x14ac:dyDescent="0.2">
      <c r="B65" t="s">
        <v>200</v>
      </c>
      <c r="C65" s="12">
        <v>35</v>
      </c>
      <c r="D65" s="8">
        <v>1.2</v>
      </c>
      <c r="E65" s="12">
        <v>5</v>
      </c>
      <c r="F65" s="8">
        <v>0.55000000000000004</v>
      </c>
      <c r="G65" s="12">
        <v>30</v>
      </c>
      <c r="H65" s="8">
        <v>1.5</v>
      </c>
      <c r="I65" s="12">
        <v>0</v>
      </c>
    </row>
    <row r="66" spans="2:9" ht="15" customHeight="1" x14ac:dyDescent="0.2">
      <c r="B66" t="s">
        <v>179</v>
      </c>
      <c r="C66" s="12">
        <v>35</v>
      </c>
      <c r="D66" s="8">
        <v>1.2</v>
      </c>
      <c r="E66" s="12">
        <v>22</v>
      </c>
      <c r="F66" s="8">
        <v>2.41</v>
      </c>
      <c r="G66" s="12">
        <v>13</v>
      </c>
      <c r="H66" s="8">
        <v>0.65</v>
      </c>
      <c r="I66" s="12">
        <v>0</v>
      </c>
    </row>
    <row r="68" spans="2:9" ht="15" customHeight="1" x14ac:dyDescent="0.2">
      <c r="B68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FB97E-70D0-4665-A8E4-2B88C20D7CDF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304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476</v>
      </c>
      <c r="D6" s="8">
        <v>17.079999999999998</v>
      </c>
      <c r="E6" s="12">
        <v>104</v>
      </c>
      <c r="F6" s="8">
        <v>8.5500000000000007</v>
      </c>
      <c r="G6" s="12">
        <v>372</v>
      </c>
      <c r="H6" s="8">
        <v>23.94</v>
      </c>
      <c r="I6" s="12">
        <v>0</v>
      </c>
    </row>
    <row r="7" spans="2:9" ht="15" customHeight="1" x14ac:dyDescent="0.2">
      <c r="B7" t="s">
        <v>76</v>
      </c>
      <c r="C7" s="12">
        <v>357</v>
      </c>
      <c r="D7" s="8">
        <v>12.81</v>
      </c>
      <c r="E7" s="12">
        <v>101</v>
      </c>
      <c r="F7" s="8">
        <v>8.31</v>
      </c>
      <c r="G7" s="12">
        <v>256</v>
      </c>
      <c r="H7" s="8">
        <v>16.47</v>
      </c>
      <c r="I7" s="12">
        <v>0</v>
      </c>
    </row>
    <row r="8" spans="2:9" ht="15" customHeight="1" x14ac:dyDescent="0.2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78</v>
      </c>
      <c r="C9" s="12">
        <v>35</v>
      </c>
      <c r="D9" s="8">
        <v>1.26</v>
      </c>
      <c r="E9" s="12">
        <v>1</v>
      </c>
      <c r="F9" s="8">
        <v>0.08</v>
      </c>
      <c r="G9" s="12">
        <v>33</v>
      </c>
      <c r="H9" s="8">
        <v>2.12</v>
      </c>
      <c r="I9" s="12">
        <v>1</v>
      </c>
    </row>
    <row r="10" spans="2:9" ht="15" customHeight="1" x14ac:dyDescent="0.2">
      <c r="B10" t="s">
        <v>79</v>
      </c>
      <c r="C10" s="12">
        <v>26</v>
      </c>
      <c r="D10" s="8">
        <v>0.93</v>
      </c>
      <c r="E10" s="12">
        <v>1</v>
      </c>
      <c r="F10" s="8">
        <v>0.08</v>
      </c>
      <c r="G10" s="12">
        <v>25</v>
      </c>
      <c r="H10" s="8">
        <v>1.61</v>
      </c>
      <c r="I10" s="12">
        <v>0</v>
      </c>
    </row>
    <row r="11" spans="2:9" ht="15" customHeight="1" x14ac:dyDescent="0.2">
      <c r="B11" t="s">
        <v>80</v>
      </c>
      <c r="C11" s="12">
        <v>597</v>
      </c>
      <c r="D11" s="8">
        <v>21.42</v>
      </c>
      <c r="E11" s="12">
        <v>251</v>
      </c>
      <c r="F11" s="8">
        <v>20.64</v>
      </c>
      <c r="G11" s="12">
        <v>345</v>
      </c>
      <c r="H11" s="8">
        <v>22.2</v>
      </c>
      <c r="I11" s="12">
        <v>1</v>
      </c>
    </row>
    <row r="12" spans="2:9" ht="15" customHeight="1" x14ac:dyDescent="0.2">
      <c r="B12" t="s">
        <v>81</v>
      </c>
      <c r="C12" s="12">
        <v>14</v>
      </c>
      <c r="D12" s="8">
        <v>0.5</v>
      </c>
      <c r="E12" s="12">
        <v>1</v>
      </c>
      <c r="F12" s="8">
        <v>0.08</v>
      </c>
      <c r="G12" s="12">
        <v>13</v>
      </c>
      <c r="H12" s="8">
        <v>0.84</v>
      </c>
      <c r="I12" s="12">
        <v>0</v>
      </c>
    </row>
    <row r="13" spans="2:9" ht="15" customHeight="1" x14ac:dyDescent="0.2">
      <c r="B13" t="s">
        <v>82</v>
      </c>
      <c r="C13" s="12">
        <v>210</v>
      </c>
      <c r="D13" s="8">
        <v>7.53</v>
      </c>
      <c r="E13" s="12">
        <v>47</v>
      </c>
      <c r="F13" s="8">
        <v>3.87</v>
      </c>
      <c r="G13" s="12">
        <v>162</v>
      </c>
      <c r="H13" s="8">
        <v>10.42</v>
      </c>
      <c r="I13" s="12">
        <v>1</v>
      </c>
    </row>
    <row r="14" spans="2:9" ht="15" customHeight="1" x14ac:dyDescent="0.2">
      <c r="B14" t="s">
        <v>83</v>
      </c>
      <c r="C14" s="12">
        <v>128</v>
      </c>
      <c r="D14" s="8">
        <v>4.59</v>
      </c>
      <c r="E14" s="12">
        <v>55</v>
      </c>
      <c r="F14" s="8">
        <v>4.5199999999999996</v>
      </c>
      <c r="G14" s="12">
        <v>73</v>
      </c>
      <c r="H14" s="8">
        <v>4.7</v>
      </c>
      <c r="I14" s="12">
        <v>0</v>
      </c>
    </row>
    <row r="15" spans="2:9" ht="15" customHeight="1" x14ac:dyDescent="0.2">
      <c r="B15" t="s">
        <v>84</v>
      </c>
      <c r="C15" s="12">
        <v>249</v>
      </c>
      <c r="D15" s="8">
        <v>8.93</v>
      </c>
      <c r="E15" s="12">
        <v>207</v>
      </c>
      <c r="F15" s="8">
        <v>17.02</v>
      </c>
      <c r="G15" s="12">
        <v>41</v>
      </c>
      <c r="H15" s="8">
        <v>2.64</v>
      </c>
      <c r="I15" s="12">
        <v>0</v>
      </c>
    </row>
    <row r="16" spans="2:9" ht="15" customHeight="1" x14ac:dyDescent="0.2">
      <c r="B16" t="s">
        <v>85</v>
      </c>
      <c r="C16" s="12">
        <v>325</v>
      </c>
      <c r="D16" s="8">
        <v>11.66</v>
      </c>
      <c r="E16" s="12">
        <v>246</v>
      </c>
      <c r="F16" s="8">
        <v>20.23</v>
      </c>
      <c r="G16" s="12">
        <v>79</v>
      </c>
      <c r="H16" s="8">
        <v>5.08</v>
      </c>
      <c r="I16" s="12">
        <v>0</v>
      </c>
    </row>
    <row r="17" spans="2:9" ht="15" customHeight="1" x14ac:dyDescent="0.2">
      <c r="B17" t="s">
        <v>86</v>
      </c>
      <c r="C17" s="12">
        <v>132</v>
      </c>
      <c r="D17" s="8">
        <v>4.74</v>
      </c>
      <c r="E17" s="12">
        <v>87</v>
      </c>
      <c r="F17" s="8">
        <v>7.15</v>
      </c>
      <c r="G17" s="12">
        <v>32</v>
      </c>
      <c r="H17" s="8">
        <v>2.06</v>
      </c>
      <c r="I17" s="12">
        <v>0</v>
      </c>
    </row>
    <row r="18" spans="2:9" ht="15" customHeight="1" x14ac:dyDescent="0.2">
      <c r="B18" t="s">
        <v>87</v>
      </c>
      <c r="C18" s="12">
        <v>151</v>
      </c>
      <c r="D18" s="8">
        <v>5.42</v>
      </c>
      <c r="E18" s="12">
        <v>88</v>
      </c>
      <c r="F18" s="8">
        <v>7.24</v>
      </c>
      <c r="G18" s="12">
        <v>63</v>
      </c>
      <c r="H18" s="8">
        <v>4.05</v>
      </c>
      <c r="I18" s="12">
        <v>0</v>
      </c>
    </row>
    <row r="19" spans="2:9" ht="15" customHeight="1" x14ac:dyDescent="0.2">
      <c r="B19" t="s">
        <v>88</v>
      </c>
      <c r="C19" s="12">
        <v>87</v>
      </c>
      <c r="D19" s="8">
        <v>3.12</v>
      </c>
      <c r="E19" s="12">
        <v>27</v>
      </c>
      <c r="F19" s="8">
        <v>2.2200000000000002</v>
      </c>
      <c r="G19" s="12">
        <v>60</v>
      </c>
      <c r="H19" s="8">
        <v>3.86</v>
      </c>
      <c r="I19" s="12">
        <v>0</v>
      </c>
    </row>
    <row r="20" spans="2:9" ht="15" customHeight="1" x14ac:dyDescent="0.2">
      <c r="B20" s="9" t="s">
        <v>269</v>
      </c>
      <c r="C20" s="12">
        <f>SUM(LTBL_11225[総数／事業所数])</f>
        <v>2787</v>
      </c>
      <c r="E20" s="12">
        <f>SUBTOTAL(109,LTBL_11225[個人／事業所数])</f>
        <v>1216</v>
      </c>
      <c r="G20" s="12">
        <f>SUBTOTAL(109,LTBL_11225[法人／事業所数])</f>
        <v>1554</v>
      </c>
      <c r="I20" s="12">
        <f>SUBTOTAL(109,LTBL_11225[法人以外の団体／事業所数])</f>
        <v>3</v>
      </c>
    </row>
    <row r="21" spans="2:9" ht="15" customHeight="1" x14ac:dyDescent="0.2">
      <c r="E21" s="11">
        <f>LTBL_11225[[#Totals],[個人／事業所数]]/LTBL_11225[[#Totals],[総数／事業所数]]</f>
        <v>0.4363114459992824</v>
      </c>
      <c r="G21" s="11">
        <f>LTBL_11225[[#Totals],[法人／事業所数]]/LTBL_11225[[#Totals],[総数／事業所数]]</f>
        <v>0.55758880516684606</v>
      </c>
      <c r="I21" s="11">
        <f>LTBL_11225[[#Totals],[法人以外の団体／事業所数]]/LTBL_11225[[#Totals],[総数／事業所数]]</f>
        <v>1.076426264800861E-3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270</v>
      </c>
      <c r="D24" s="8">
        <v>9.69</v>
      </c>
      <c r="E24" s="12">
        <v>225</v>
      </c>
      <c r="F24" s="8">
        <v>18.5</v>
      </c>
      <c r="G24" s="12">
        <v>45</v>
      </c>
      <c r="H24" s="8">
        <v>2.9</v>
      </c>
      <c r="I24" s="12">
        <v>0</v>
      </c>
    </row>
    <row r="25" spans="2:9" ht="15" customHeight="1" x14ac:dyDescent="0.2">
      <c r="B25" t="s">
        <v>111</v>
      </c>
      <c r="C25" s="12">
        <v>230</v>
      </c>
      <c r="D25" s="8">
        <v>8.25</v>
      </c>
      <c r="E25" s="12">
        <v>199</v>
      </c>
      <c r="F25" s="8">
        <v>16.37</v>
      </c>
      <c r="G25" s="12">
        <v>31</v>
      </c>
      <c r="H25" s="8">
        <v>1.99</v>
      </c>
      <c r="I25" s="12">
        <v>0</v>
      </c>
    </row>
    <row r="26" spans="2:9" ht="15" customHeight="1" x14ac:dyDescent="0.2">
      <c r="B26" t="s">
        <v>97</v>
      </c>
      <c r="C26" s="12">
        <v>193</v>
      </c>
      <c r="D26" s="8">
        <v>6.93</v>
      </c>
      <c r="E26" s="12">
        <v>46</v>
      </c>
      <c r="F26" s="8">
        <v>3.78</v>
      </c>
      <c r="G26" s="12">
        <v>147</v>
      </c>
      <c r="H26" s="8">
        <v>9.4600000000000009</v>
      </c>
      <c r="I26" s="12">
        <v>0</v>
      </c>
    </row>
    <row r="27" spans="2:9" ht="15" customHeight="1" x14ac:dyDescent="0.2">
      <c r="B27" t="s">
        <v>98</v>
      </c>
      <c r="C27" s="12">
        <v>174</v>
      </c>
      <c r="D27" s="8">
        <v>6.24</v>
      </c>
      <c r="E27" s="12">
        <v>38</v>
      </c>
      <c r="F27" s="8">
        <v>3.13</v>
      </c>
      <c r="G27" s="12">
        <v>136</v>
      </c>
      <c r="H27" s="8">
        <v>8.75</v>
      </c>
      <c r="I27" s="12">
        <v>0</v>
      </c>
    </row>
    <row r="28" spans="2:9" ht="15" customHeight="1" x14ac:dyDescent="0.2">
      <c r="B28" t="s">
        <v>108</v>
      </c>
      <c r="C28" s="12">
        <v>164</v>
      </c>
      <c r="D28" s="8">
        <v>5.88</v>
      </c>
      <c r="E28" s="12">
        <v>41</v>
      </c>
      <c r="F28" s="8">
        <v>3.37</v>
      </c>
      <c r="G28" s="12">
        <v>122</v>
      </c>
      <c r="H28" s="8">
        <v>7.85</v>
      </c>
      <c r="I28" s="12">
        <v>1</v>
      </c>
    </row>
    <row r="29" spans="2:9" ht="15" customHeight="1" x14ac:dyDescent="0.2">
      <c r="B29" t="s">
        <v>104</v>
      </c>
      <c r="C29" s="12">
        <v>145</v>
      </c>
      <c r="D29" s="8">
        <v>5.2</v>
      </c>
      <c r="E29" s="12">
        <v>103</v>
      </c>
      <c r="F29" s="8">
        <v>8.4700000000000006</v>
      </c>
      <c r="G29" s="12">
        <v>42</v>
      </c>
      <c r="H29" s="8">
        <v>2.7</v>
      </c>
      <c r="I29" s="12">
        <v>0</v>
      </c>
    </row>
    <row r="30" spans="2:9" ht="15" customHeight="1" x14ac:dyDescent="0.2">
      <c r="B30" t="s">
        <v>114</v>
      </c>
      <c r="C30" s="12">
        <v>132</v>
      </c>
      <c r="D30" s="8">
        <v>4.74</v>
      </c>
      <c r="E30" s="12">
        <v>87</v>
      </c>
      <c r="F30" s="8">
        <v>7.15</v>
      </c>
      <c r="G30" s="12">
        <v>32</v>
      </c>
      <c r="H30" s="8">
        <v>2.06</v>
      </c>
      <c r="I30" s="12">
        <v>0</v>
      </c>
    </row>
    <row r="31" spans="2:9" ht="15" customHeight="1" x14ac:dyDescent="0.2">
      <c r="B31" t="s">
        <v>106</v>
      </c>
      <c r="C31" s="12">
        <v>129</v>
      </c>
      <c r="D31" s="8">
        <v>4.63</v>
      </c>
      <c r="E31" s="12">
        <v>59</v>
      </c>
      <c r="F31" s="8">
        <v>4.8499999999999996</v>
      </c>
      <c r="G31" s="12">
        <v>69</v>
      </c>
      <c r="H31" s="8">
        <v>4.4400000000000004</v>
      </c>
      <c r="I31" s="12">
        <v>1</v>
      </c>
    </row>
    <row r="32" spans="2:9" ht="15" customHeight="1" x14ac:dyDescent="0.2">
      <c r="B32" t="s">
        <v>99</v>
      </c>
      <c r="C32" s="12">
        <v>109</v>
      </c>
      <c r="D32" s="8">
        <v>3.91</v>
      </c>
      <c r="E32" s="12">
        <v>20</v>
      </c>
      <c r="F32" s="8">
        <v>1.64</v>
      </c>
      <c r="G32" s="12">
        <v>89</v>
      </c>
      <c r="H32" s="8">
        <v>5.73</v>
      </c>
      <c r="I32" s="12">
        <v>0</v>
      </c>
    </row>
    <row r="33" spans="2:9" ht="15" customHeight="1" x14ac:dyDescent="0.2">
      <c r="B33" t="s">
        <v>115</v>
      </c>
      <c r="C33" s="12">
        <v>107</v>
      </c>
      <c r="D33" s="8">
        <v>3.84</v>
      </c>
      <c r="E33" s="12">
        <v>88</v>
      </c>
      <c r="F33" s="8">
        <v>7.24</v>
      </c>
      <c r="G33" s="12">
        <v>19</v>
      </c>
      <c r="H33" s="8">
        <v>1.22</v>
      </c>
      <c r="I33" s="12">
        <v>0</v>
      </c>
    </row>
    <row r="34" spans="2:9" ht="15" customHeight="1" x14ac:dyDescent="0.2">
      <c r="B34" t="s">
        <v>103</v>
      </c>
      <c r="C34" s="12">
        <v>81</v>
      </c>
      <c r="D34" s="8">
        <v>2.91</v>
      </c>
      <c r="E34" s="12">
        <v>29</v>
      </c>
      <c r="F34" s="8">
        <v>2.38</v>
      </c>
      <c r="G34" s="12">
        <v>52</v>
      </c>
      <c r="H34" s="8">
        <v>3.35</v>
      </c>
      <c r="I34" s="12">
        <v>0</v>
      </c>
    </row>
    <row r="35" spans="2:9" ht="15" customHeight="1" x14ac:dyDescent="0.2">
      <c r="B35" t="s">
        <v>105</v>
      </c>
      <c r="C35" s="12">
        <v>81</v>
      </c>
      <c r="D35" s="8">
        <v>2.91</v>
      </c>
      <c r="E35" s="12">
        <v>32</v>
      </c>
      <c r="F35" s="8">
        <v>2.63</v>
      </c>
      <c r="G35" s="12">
        <v>49</v>
      </c>
      <c r="H35" s="8">
        <v>3.15</v>
      </c>
      <c r="I35" s="12">
        <v>0</v>
      </c>
    </row>
    <row r="36" spans="2:9" ht="15" customHeight="1" x14ac:dyDescent="0.2">
      <c r="B36" t="s">
        <v>120</v>
      </c>
      <c r="C36" s="12">
        <v>64</v>
      </c>
      <c r="D36" s="8">
        <v>2.2999999999999998</v>
      </c>
      <c r="E36" s="12">
        <v>6</v>
      </c>
      <c r="F36" s="8">
        <v>0.49</v>
      </c>
      <c r="G36" s="12">
        <v>58</v>
      </c>
      <c r="H36" s="8">
        <v>3.73</v>
      </c>
      <c r="I36" s="12">
        <v>0</v>
      </c>
    </row>
    <row r="37" spans="2:9" ht="15" customHeight="1" x14ac:dyDescent="0.2">
      <c r="B37" t="s">
        <v>110</v>
      </c>
      <c r="C37" s="12">
        <v>64</v>
      </c>
      <c r="D37" s="8">
        <v>2.2999999999999998</v>
      </c>
      <c r="E37" s="12">
        <v>22</v>
      </c>
      <c r="F37" s="8">
        <v>1.81</v>
      </c>
      <c r="G37" s="12">
        <v>42</v>
      </c>
      <c r="H37" s="8">
        <v>2.7</v>
      </c>
      <c r="I37" s="12">
        <v>0</v>
      </c>
    </row>
    <row r="38" spans="2:9" ht="15" customHeight="1" x14ac:dyDescent="0.2">
      <c r="B38" t="s">
        <v>109</v>
      </c>
      <c r="C38" s="12">
        <v>62</v>
      </c>
      <c r="D38" s="8">
        <v>2.2200000000000002</v>
      </c>
      <c r="E38" s="12">
        <v>33</v>
      </c>
      <c r="F38" s="8">
        <v>2.71</v>
      </c>
      <c r="G38" s="12">
        <v>29</v>
      </c>
      <c r="H38" s="8">
        <v>1.87</v>
      </c>
      <c r="I38" s="12">
        <v>0</v>
      </c>
    </row>
    <row r="39" spans="2:9" ht="15" customHeight="1" x14ac:dyDescent="0.2">
      <c r="B39" t="s">
        <v>100</v>
      </c>
      <c r="C39" s="12">
        <v>46</v>
      </c>
      <c r="D39" s="8">
        <v>1.65</v>
      </c>
      <c r="E39" s="12">
        <v>7</v>
      </c>
      <c r="F39" s="8">
        <v>0.57999999999999996</v>
      </c>
      <c r="G39" s="12">
        <v>39</v>
      </c>
      <c r="H39" s="8">
        <v>2.5099999999999998</v>
      </c>
      <c r="I39" s="12">
        <v>0</v>
      </c>
    </row>
    <row r="40" spans="2:9" ht="15" customHeight="1" x14ac:dyDescent="0.2">
      <c r="B40" t="s">
        <v>118</v>
      </c>
      <c r="C40" s="12">
        <v>44</v>
      </c>
      <c r="D40" s="8">
        <v>1.58</v>
      </c>
      <c r="E40" s="12">
        <v>0</v>
      </c>
      <c r="F40" s="8">
        <v>0</v>
      </c>
      <c r="G40" s="12">
        <v>44</v>
      </c>
      <c r="H40" s="8">
        <v>2.83</v>
      </c>
      <c r="I40" s="12">
        <v>0</v>
      </c>
    </row>
    <row r="41" spans="2:9" ht="15" customHeight="1" x14ac:dyDescent="0.2">
      <c r="B41" t="s">
        <v>101</v>
      </c>
      <c r="C41" s="12">
        <v>42</v>
      </c>
      <c r="D41" s="8">
        <v>1.51</v>
      </c>
      <c r="E41" s="12">
        <v>5</v>
      </c>
      <c r="F41" s="8">
        <v>0.41</v>
      </c>
      <c r="G41" s="12">
        <v>37</v>
      </c>
      <c r="H41" s="8">
        <v>2.38</v>
      </c>
      <c r="I41" s="12">
        <v>0</v>
      </c>
    </row>
    <row r="42" spans="2:9" ht="15" customHeight="1" x14ac:dyDescent="0.2">
      <c r="B42" t="s">
        <v>113</v>
      </c>
      <c r="C42" s="12">
        <v>40</v>
      </c>
      <c r="D42" s="8">
        <v>1.44</v>
      </c>
      <c r="E42" s="12">
        <v>14</v>
      </c>
      <c r="F42" s="8">
        <v>1.1499999999999999</v>
      </c>
      <c r="G42" s="12">
        <v>26</v>
      </c>
      <c r="H42" s="8">
        <v>1.67</v>
      </c>
      <c r="I42" s="12">
        <v>0</v>
      </c>
    </row>
    <row r="43" spans="2:9" ht="15" customHeight="1" x14ac:dyDescent="0.2">
      <c r="B43" t="s">
        <v>102</v>
      </c>
      <c r="C43" s="12">
        <v>38</v>
      </c>
      <c r="D43" s="8">
        <v>1.36</v>
      </c>
      <c r="E43" s="12">
        <v>6</v>
      </c>
      <c r="F43" s="8">
        <v>0.49</v>
      </c>
      <c r="G43" s="12">
        <v>32</v>
      </c>
      <c r="H43" s="8">
        <v>2.06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173</v>
      </c>
      <c r="C47" s="12">
        <v>134</v>
      </c>
      <c r="D47" s="8">
        <v>4.8099999999999996</v>
      </c>
      <c r="E47" s="12">
        <v>118</v>
      </c>
      <c r="F47" s="8">
        <v>9.6999999999999993</v>
      </c>
      <c r="G47" s="12">
        <v>16</v>
      </c>
      <c r="H47" s="8">
        <v>1.03</v>
      </c>
      <c r="I47" s="12">
        <v>0</v>
      </c>
    </row>
    <row r="48" spans="2:9" ht="15" customHeight="1" x14ac:dyDescent="0.2">
      <c r="B48" t="s">
        <v>162</v>
      </c>
      <c r="C48" s="12">
        <v>81</v>
      </c>
      <c r="D48" s="8">
        <v>2.91</v>
      </c>
      <c r="E48" s="12">
        <v>51</v>
      </c>
      <c r="F48" s="8">
        <v>4.1900000000000004</v>
      </c>
      <c r="G48" s="12">
        <v>30</v>
      </c>
      <c r="H48" s="8">
        <v>1.93</v>
      </c>
      <c r="I48" s="12">
        <v>0</v>
      </c>
    </row>
    <row r="49" spans="2:9" ht="15" customHeight="1" x14ac:dyDescent="0.2">
      <c r="B49" t="s">
        <v>172</v>
      </c>
      <c r="C49" s="12">
        <v>78</v>
      </c>
      <c r="D49" s="8">
        <v>2.8</v>
      </c>
      <c r="E49" s="12">
        <v>70</v>
      </c>
      <c r="F49" s="8">
        <v>5.76</v>
      </c>
      <c r="G49" s="12">
        <v>8</v>
      </c>
      <c r="H49" s="8">
        <v>0.51</v>
      </c>
      <c r="I49" s="12">
        <v>0</v>
      </c>
    </row>
    <row r="50" spans="2:9" ht="15" customHeight="1" x14ac:dyDescent="0.2">
      <c r="B50" t="s">
        <v>175</v>
      </c>
      <c r="C50" s="12">
        <v>78</v>
      </c>
      <c r="D50" s="8">
        <v>2.8</v>
      </c>
      <c r="E50" s="12">
        <v>64</v>
      </c>
      <c r="F50" s="8">
        <v>5.26</v>
      </c>
      <c r="G50" s="12">
        <v>14</v>
      </c>
      <c r="H50" s="8">
        <v>0.9</v>
      </c>
      <c r="I50" s="12">
        <v>0</v>
      </c>
    </row>
    <row r="51" spans="2:9" ht="15" customHeight="1" x14ac:dyDescent="0.2">
      <c r="B51" t="s">
        <v>174</v>
      </c>
      <c r="C51" s="12">
        <v>75</v>
      </c>
      <c r="D51" s="8">
        <v>2.69</v>
      </c>
      <c r="E51" s="12">
        <v>57</v>
      </c>
      <c r="F51" s="8">
        <v>4.6900000000000004</v>
      </c>
      <c r="G51" s="12">
        <v>18</v>
      </c>
      <c r="H51" s="8">
        <v>1.1599999999999999</v>
      </c>
      <c r="I51" s="12">
        <v>0</v>
      </c>
    </row>
    <row r="52" spans="2:9" ht="15" customHeight="1" x14ac:dyDescent="0.2">
      <c r="B52" t="s">
        <v>167</v>
      </c>
      <c r="C52" s="12">
        <v>67</v>
      </c>
      <c r="D52" s="8">
        <v>2.4</v>
      </c>
      <c r="E52" s="12">
        <v>32</v>
      </c>
      <c r="F52" s="8">
        <v>2.63</v>
      </c>
      <c r="G52" s="12">
        <v>35</v>
      </c>
      <c r="H52" s="8">
        <v>2.25</v>
      </c>
      <c r="I52" s="12">
        <v>0</v>
      </c>
    </row>
    <row r="53" spans="2:9" ht="15" customHeight="1" x14ac:dyDescent="0.2">
      <c r="B53" t="s">
        <v>159</v>
      </c>
      <c r="C53" s="12">
        <v>66</v>
      </c>
      <c r="D53" s="8">
        <v>2.37</v>
      </c>
      <c r="E53" s="12">
        <v>28</v>
      </c>
      <c r="F53" s="8">
        <v>2.2999999999999998</v>
      </c>
      <c r="G53" s="12">
        <v>38</v>
      </c>
      <c r="H53" s="8">
        <v>2.4500000000000002</v>
      </c>
      <c r="I53" s="12">
        <v>0</v>
      </c>
    </row>
    <row r="54" spans="2:9" ht="15" customHeight="1" x14ac:dyDescent="0.2">
      <c r="B54" t="s">
        <v>163</v>
      </c>
      <c r="C54" s="12">
        <v>64</v>
      </c>
      <c r="D54" s="8">
        <v>2.2999999999999998</v>
      </c>
      <c r="E54" s="12">
        <v>20</v>
      </c>
      <c r="F54" s="8">
        <v>1.64</v>
      </c>
      <c r="G54" s="12">
        <v>44</v>
      </c>
      <c r="H54" s="8">
        <v>2.83</v>
      </c>
      <c r="I54" s="12">
        <v>0</v>
      </c>
    </row>
    <row r="55" spans="2:9" ht="15" customHeight="1" x14ac:dyDescent="0.2">
      <c r="B55" t="s">
        <v>170</v>
      </c>
      <c r="C55" s="12">
        <v>64</v>
      </c>
      <c r="D55" s="8">
        <v>2.2999999999999998</v>
      </c>
      <c r="E55" s="12">
        <v>53</v>
      </c>
      <c r="F55" s="8">
        <v>4.3600000000000003</v>
      </c>
      <c r="G55" s="12">
        <v>11</v>
      </c>
      <c r="H55" s="8">
        <v>0.71</v>
      </c>
      <c r="I55" s="12">
        <v>0</v>
      </c>
    </row>
    <row r="56" spans="2:9" ht="15" customHeight="1" x14ac:dyDescent="0.2">
      <c r="B56" t="s">
        <v>169</v>
      </c>
      <c r="C56" s="12">
        <v>60</v>
      </c>
      <c r="D56" s="8">
        <v>2.15</v>
      </c>
      <c r="E56" s="12">
        <v>50</v>
      </c>
      <c r="F56" s="8">
        <v>4.1100000000000003</v>
      </c>
      <c r="G56" s="12">
        <v>10</v>
      </c>
      <c r="H56" s="8">
        <v>0.64</v>
      </c>
      <c r="I56" s="12">
        <v>0</v>
      </c>
    </row>
    <row r="57" spans="2:9" ht="15" customHeight="1" x14ac:dyDescent="0.2">
      <c r="B57" t="s">
        <v>166</v>
      </c>
      <c r="C57" s="12">
        <v>57</v>
      </c>
      <c r="D57" s="8">
        <v>2.0499999999999998</v>
      </c>
      <c r="E57" s="12">
        <v>3</v>
      </c>
      <c r="F57" s="8">
        <v>0.25</v>
      </c>
      <c r="G57" s="12">
        <v>54</v>
      </c>
      <c r="H57" s="8">
        <v>3.47</v>
      </c>
      <c r="I57" s="12">
        <v>0</v>
      </c>
    </row>
    <row r="58" spans="2:9" ht="15" customHeight="1" x14ac:dyDescent="0.2">
      <c r="B58" t="s">
        <v>157</v>
      </c>
      <c r="C58" s="12">
        <v>46</v>
      </c>
      <c r="D58" s="8">
        <v>1.65</v>
      </c>
      <c r="E58" s="12">
        <v>6</v>
      </c>
      <c r="F58" s="8">
        <v>0.49</v>
      </c>
      <c r="G58" s="12">
        <v>40</v>
      </c>
      <c r="H58" s="8">
        <v>2.57</v>
      </c>
      <c r="I58" s="12">
        <v>0</v>
      </c>
    </row>
    <row r="59" spans="2:9" ht="15" customHeight="1" x14ac:dyDescent="0.2">
      <c r="B59" t="s">
        <v>164</v>
      </c>
      <c r="C59" s="12">
        <v>46</v>
      </c>
      <c r="D59" s="8">
        <v>1.65</v>
      </c>
      <c r="E59" s="12">
        <v>24</v>
      </c>
      <c r="F59" s="8">
        <v>1.97</v>
      </c>
      <c r="G59" s="12">
        <v>21</v>
      </c>
      <c r="H59" s="8">
        <v>1.35</v>
      </c>
      <c r="I59" s="12">
        <v>1</v>
      </c>
    </row>
    <row r="60" spans="2:9" ht="15" customHeight="1" x14ac:dyDescent="0.2">
      <c r="B60" t="s">
        <v>160</v>
      </c>
      <c r="C60" s="12">
        <v>45</v>
      </c>
      <c r="D60" s="8">
        <v>1.61</v>
      </c>
      <c r="E60" s="12">
        <v>12</v>
      </c>
      <c r="F60" s="8">
        <v>0.99</v>
      </c>
      <c r="G60" s="12">
        <v>33</v>
      </c>
      <c r="H60" s="8">
        <v>2.12</v>
      </c>
      <c r="I60" s="12">
        <v>0</v>
      </c>
    </row>
    <row r="61" spans="2:9" ht="15" customHeight="1" x14ac:dyDescent="0.2">
      <c r="B61" t="s">
        <v>161</v>
      </c>
      <c r="C61" s="12">
        <v>45</v>
      </c>
      <c r="D61" s="8">
        <v>1.61</v>
      </c>
      <c r="E61" s="12">
        <v>8</v>
      </c>
      <c r="F61" s="8">
        <v>0.66</v>
      </c>
      <c r="G61" s="12">
        <v>37</v>
      </c>
      <c r="H61" s="8">
        <v>2.38</v>
      </c>
      <c r="I61" s="12">
        <v>0</v>
      </c>
    </row>
    <row r="62" spans="2:9" ht="15" customHeight="1" x14ac:dyDescent="0.2">
      <c r="B62" t="s">
        <v>158</v>
      </c>
      <c r="C62" s="12">
        <v>43</v>
      </c>
      <c r="D62" s="8">
        <v>1.54</v>
      </c>
      <c r="E62" s="12">
        <v>6</v>
      </c>
      <c r="F62" s="8">
        <v>0.49</v>
      </c>
      <c r="G62" s="12">
        <v>37</v>
      </c>
      <c r="H62" s="8">
        <v>2.38</v>
      </c>
      <c r="I62" s="12">
        <v>0</v>
      </c>
    </row>
    <row r="63" spans="2:9" ht="15" customHeight="1" x14ac:dyDescent="0.2">
      <c r="B63" t="s">
        <v>171</v>
      </c>
      <c r="C63" s="12">
        <v>42</v>
      </c>
      <c r="D63" s="8">
        <v>1.51</v>
      </c>
      <c r="E63" s="12">
        <v>27</v>
      </c>
      <c r="F63" s="8">
        <v>2.2200000000000002</v>
      </c>
      <c r="G63" s="12">
        <v>15</v>
      </c>
      <c r="H63" s="8">
        <v>0.97</v>
      </c>
      <c r="I63" s="12">
        <v>0</v>
      </c>
    </row>
    <row r="64" spans="2:9" ht="15" customHeight="1" x14ac:dyDescent="0.2">
      <c r="B64" t="s">
        <v>179</v>
      </c>
      <c r="C64" s="12">
        <v>42</v>
      </c>
      <c r="D64" s="8">
        <v>1.51</v>
      </c>
      <c r="E64" s="12">
        <v>30</v>
      </c>
      <c r="F64" s="8">
        <v>2.4700000000000002</v>
      </c>
      <c r="G64" s="12">
        <v>12</v>
      </c>
      <c r="H64" s="8">
        <v>0.77</v>
      </c>
      <c r="I64" s="12">
        <v>0</v>
      </c>
    </row>
    <row r="65" spans="2:9" ht="15" customHeight="1" x14ac:dyDescent="0.2">
      <c r="B65" t="s">
        <v>191</v>
      </c>
      <c r="C65" s="12">
        <v>40</v>
      </c>
      <c r="D65" s="8">
        <v>1.44</v>
      </c>
      <c r="E65" s="12">
        <v>39</v>
      </c>
      <c r="F65" s="8">
        <v>3.21</v>
      </c>
      <c r="G65" s="12">
        <v>1</v>
      </c>
      <c r="H65" s="8">
        <v>0.06</v>
      </c>
      <c r="I65" s="12">
        <v>0</v>
      </c>
    </row>
    <row r="66" spans="2:9" ht="15" customHeight="1" x14ac:dyDescent="0.2">
      <c r="B66" t="s">
        <v>182</v>
      </c>
      <c r="C66" s="12">
        <v>35</v>
      </c>
      <c r="D66" s="8">
        <v>1.26</v>
      </c>
      <c r="E66" s="12">
        <v>7</v>
      </c>
      <c r="F66" s="8">
        <v>0.57999999999999996</v>
      </c>
      <c r="G66" s="12">
        <v>28</v>
      </c>
      <c r="H66" s="8">
        <v>1.8</v>
      </c>
      <c r="I66" s="12">
        <v>0</v>
      </c>
    </row>
    <row r="67" spans="2:9" ht="15" customHeight="1" x14ac:dyDescent="0.2">
      <c r="B67" t="s">
        <v>178</v>
      </c>
      <c r="C67" s="12">
        <v>35</v>
      </c>
      <c r="D67" s="8">
        <v>1.26</v>
      </c>
      <c r="E67" s="12">
        <v>12</v>
      </c>
      <c r="F67" s="8">
        <v>0.99</v>
      </c>
      <c r="G67" s="12">
        <v>23</v>
      </c>
      <c r="H67" s="8">
        <v>1.48</v>
      </c>
      <c r="I67" s="12">
        <v>0</v>
      </c>
    </row>
    <row r="69" spans="2:9" ht="15" customHeight="1" x14ac:dyDescent="0.2">
      <c r="B69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88D9F-021B-42AB-8B55-1CCEEBCC8B84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305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413</v>
      </c>
      <c r="D6" s="8">
        <v>20.399999999999999</v>
      </c>
      <c r="E6" s="12">
        <v>44</v>
      </c>
      <c r="F6" s="8">
        <v>6.7</v>
      </c>
      <c r="G6" s="12">
        <v>369</v>
      </c>
      <c r="H6" s="8">
        <v>27.03</v>
      </c>
      <c r="I6" s="12">
        <v>0</v>
      </c>
    </row>
    <row r="7" spans="2:9" ht="15" customHeight="1" x14ac:dyDescent="0.2">
      <c r="B7" t="s">
        <v>76</v>
      </c>
      <c r="C7" s="12">
        <v>236</v>
      </c>
      <c r="D7" s="8">
        <v>11.65</v>
      </c>
      <c r="E7" s="12">
        <v>51</v>
      </c>
      <c r="F7" s="8">
        <v>7.76</v>
      </c>
      <c r="G7" s="12">
        <v>185</v>
      </c>
      <c r="H7" s="8">
        <v>13.55</v>
      </c>
      <c r="I7" s="12">
        <v>0</v>
      </c>
    </row>
    <row r="8" spans="2:9" ht="15" customHeight="1" x14ac:dyDescent="0.2">
      <c r="B8" t="s">
        <v>77</v>
      </c>
      <c r="C8" s="12">
        <v>3</v>
      </c>
      <c r="D8" s="8">
        <v>0.15</v>
      </c>
      <c r="E8" s="12">
        <v>0</v>
      </c>
      <c r="F8" s="8">
        <v>0</v>
      </c>
      <c r="G8" s="12">
        <v>3</v>
      </c>
      <c r="H8" s="8">
        <v>0.22</v>
      </c>
      <c r="I8" s="12">
        <v>0</v>
      </c>
    </row>
    <row r="9" spans="2:9" ht="15" customHeight="1" x14ac:dyDescent="0.2">
      <c r="B9" t="s">
        <v>78</v>
      </c>
      <c r="C9" s="12">
        <v>38</v>
      </c>
      <c r="D9" s="8">
        <v>1.88</v>
      </c>
      <c r="E9" s="12">
        <v>1</v>
      </c>
      <c r="F9" s="8">
        <v>0.15</v>
      </c>
      <c r="G9" s="12">
        <v>37</v>
      </c>
      <c r="H9" s="8">
        <v>2.71</v>
      </c>
      <c r="I9" s="12">
        <v>0</v>
      </c>
    </row>
    <row r="10" spans="2:9" ht="15" customHeight="1" x14ac:dyDescent="0.2">
      <c r="B10" t="s">
        <v>79</v>
      </c>
      <c r="C10" s="12">
        <v>33</v>
      </c>
      <c r="D10" s="8">
        <v>1.63</v>
      </c>
      <c r="E10" s="12">
        <v>1</v>
      </c>
      <c r="F10" s="8">
        <v>0.15</v>
      </c>
      <c r="G10" s="12">
        <v>32</v>
      </c>
      <c r="H10" s="8">
        <v>2.34</v>
      </c>
      <c r="I10" s="12">
        <v>0</v>
      </c>
    </row>
    <row r="11" spans="2:9" ht="15" customHeight="1" x14ac:dyDescent="0.2">
      <c r="B11" t="s">
        <v>80</v>
      </c>
      <c r="C11" s="12">
        <v>304</v>
      </c>
      <c r="D11" s="8">
        <v>15.01</v>
      </c>
      <c r="E11" s="12">
        <v>102</v>
      </c>
      <c r="F11" s="8">
        <v>15.53</v>
      </c>
      <c r="G11" s="12">
        <v>202</v>
      </c>
      <c r="H11" s="8">
        <v>14.8</v>
      </c>
      <c r="I11" s="12">
        <v>0</v>
      </c>
    </row>
    <row r="12" spans="2:9" ht="15" customHeight="1" x14ac:dyDescent="0.2">
      <c r="B12" t="s">
        <v>81</v>
      </c>
      <c r="C12" s="12">
        <v>7</v>
      </c>
      <c r="D12" s="8">
        <v>0.35</v>
      </c>
      <c r="E12" s="12">
        <v>0</v>
      </c>
      <c r="F12" s="8">
        <v>0</v>
      </c>
      <c r="G12" s="12">
        <v>7</v>
      </c>
      <c r="H12" s="8">
        <v>0.51</v>
      </c>
      <c r="I12" s="12">
        <v>0</v>
      </c>
    </row>
    <row r="13" spans="2:9" ht="15" customHeight="1" x14ac:dyDescent="0.2">
      <c r="B13" t="s">
        <v>82</v>
      </c>
      <c r="C13" s="12">
        <v>258</v>
      </c>
      <c r="D13" s="8">
        <v>12.74</v>
      </c>
      <c r="E13" s="12">
        <v>6</v>
      </c>
      <c r="F13" s="8">
        <v>0.91</v>
      </c>
      <c r="G13" s="12">
        <v>251</v>
      </c>
      <c r="H13" s="8">
        <v>18.39</v>
      </c>
      <c r="I13" s="12">
        <v>0</v>
      </c>
    </row>
    <row r="14" spans="2:9" ht="15" customHeight="1" x14ac:dyDescent="0.2">
      <c r="B14" t="s">
        <v>83</v>
      </c>
      <c r="C14" s="12">
        <v>80</v>
      </c>
      <c r="D14" s="8">
        <v>3.95</v>
      </c>
      <c r="E14" s="12">
        <v>32</v>
      </c>
      <c r="F14" s="8">
        <v>4.87</v>
      </c>
      <c r="G14" s="12">
        <v>48</v>
      </c>
      <c r="H14" s="8">
        <v>3.52</v>
      </c>
      <c r="I14" s="12">
        <v>0</v>
      </c>
    </row>
    <row r="15" spans="2:9" ht="15" customHeight="1" x14ac:dyDescent="0.2">
      <c r="B15" t="s">
        <v>84</v>
      </c>
      <c r="C15" s="12">
        <v>190</v>
      </c>
      <c r="D15" s="8">
        <v>9.3800000000000008</v>
      </c>
      <c r="E15" s="12">
        <v>142</v>
      </c>
      <c r="F15" s="8">
        <v>21.61</v>
      </c>
      <c r="G15" s="12">
        <v>48</v>
      </c>
      <c r="H15" s="8">
        <v>3.52</v>
      </c>
      <c r="I15" s="12">
        <v>0</v>
      </c>
    </row>
    <row r="16" spans="2:9" ht="15" customHeight="1" x14ac:dyDescent="0.2">
      <c r="B16" t="s">
        <v>85</v>
      </c>
      <c r="C16" s="12">
        <v>196</v>
      </c>
      <c r="D16" s="8">
        <v>9.68</v>
      </c>
      <c r="E16" s="12">
        <v>136</v>
      </c>
      <c r="F16" s="8">
        <v>20.7</v>
      </c>
      <c r="G16" s="12">
        <v>60</v>
      </c>
      <c r="H16" s="8">
        <v>4.4000000000000004</v>
      </c>
      <c r="I16" s="12">
        <v>0</v>
      </c>
    </row>
    <row r="17" spans="2:9" ht="15" customHeight="1" x14ac:dyDescent="0.2">
      <c r="B17" t="s">
        <v>86</v>
      </c>
      <c r="C17" s="12">
        <v>83</v>
      </c>
      <c r="D17" s="8">
        <v>4.0999999999999996</v>
      </c>
      <c r="E17" s="12">
        <v>58</v>
      </c>
      <c r="F17" s="8">
        <v>8.83</v>
      </c>
      <c r="G17" s="12">
        <v>25</v>
      </c>
      <c r="H17" s="8">
        <v>1.83</v>
      </c>
      <c r="I17" s="12">
        <v>0</v>
      </c>
    </row>
    <row r="18" spans="2:9" ht="15" customHeight="1" x14ac:dyDescent="0.2">
      <c r="B18" t="s">
        <v>87</v>
      </c>
      <c r="C18" s="12">
        <v>112</v>
      </c>
      <c r="D18" s="8">
        <v>5.53</v>
      </c>
      <c r="E18" s="12">
        <v>65</v>
      </c>
      <c r="F18" s="8">
        <v>9.89</v>
      </c>
      <c r="G18" s="12">
        <v>46</v>
      </c>
      <c r="H18" s="8">
        <v>3.37</v>
      </c>
      <c r="I18" s="12">
        <v>0</v>
      </c>
    </row>
    <row r="19" spans="2:9" ht="15" customHeight="1" x14ac:dyDescent="0.2">
      <c r="B19" t="s">
        <v>88</v>
      </c>
      <c r="C19" s="12">
        <v>72</v>
      </c>
      <c r="D19" s="8">
        <v>3.56</v>
      </c>
      <c r="E19" s="12">
        <v>19</v>
      </c>
      <c r="F19" s="8">
        <v>2.89</v>
      </c>
      <c r="G19" s="12">
        <v>52</v>
      </c>
      <c r="H19" s="8">
        <v>3.81</v>
      </c>
      <c r="I19" s="12">
        <v>1</v>
      </c>
    </row>
    <row r="20" spans="2:9" ht="15" customHeight="1" x14ac:dyDescent="0.2">
      <c r="B20" s="9" t="s">
        <v>269</v>
      </c>
      <c r="C20" s="12">
        <f>SUM(LTBL_11227[総数／事業所数])</f>
        <v>2025</v>
      </c>
      <c r="E20" s="12">
        <f>SUBTOTAL(109,LTBL_11227[個人／事業所数])</f>
        <v>657</v>
      </c>
      <c r="G20" s="12">
        <f>SUBTOTAL(109,LTBL_11227[法人／事業所数])</f>
        <v>1365</v>
      </c>
      <c r="I20" s="12">
        <f>SUBTOTAL(109,LTBL_11227[法人以外の団体／事業所数])</f>
        <v>1</v>
      </c>
    </row>
    <row r="21" spans="2:9" ht="15" customHeight="1" x14ac:dyDescent="0.2">
      <c r="E21" s="11">
        <f>LTBL_11227[[#Totals],[個人／事業所数]]/LTBL_11227[[#Totals],[総数／事業所数]]</f>
        <v>0.32444444444444442</v>
      </c>
      <c r="G21" s="11">
        <f>LTBL_11227[[#Totals],[法人／事業所数]]/LTBL_11227[[#Totals],[総数／事業所数]]</f>
        <v>0.67407407407407405</v>
      </c>
      <c r="I21" s="11">
        <f>LTBL_11227[[#Totals],[法人以外の団体／事業所数]]/LTBL_11227[[#Totals],[総数／事業所数]]</f>
        <v>4.9382716049382717E-4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108</v>
      </c>
      <c r="C24" s="12">
        <v>211</v>
      </c>
      <c r="D24" s="8">
        <v>10.42</v>
      </c>
      <c r="E24" s="12">
        <v>5</v>
      </c>
      <c r="F24" s="8">
        <v>0.76</v>
      </c>
      <c r="G24" s="12">
        <v>205</v>
      </c>
      <c r="H24" s="8">
        <v>15.02</v>
      </c>
      <c r="I24" s="12">
        <v>0</v>
      </c>
    </row>
    <row r="25" spans="2:9" ht="15" customHeight="1" x14ac:dyDescent="0.2">
      <c r="B25" t="s">
        <v>111</v>
      </c>
      <c r="C25" s="12">
        <v>180</v>
      </c>
      <c r="D25" s="8">
        <v>8.89</v>
      </c>
      <c r="E25" s="12">
        <v>141</v>
      </c>
      <c r="F25" s="8">
        <v>21.46</v>
      </c>
      <c r="G25" s="12">
        <v>39</v>
      </c>
      <c r="H25" s="8">
        <v>2.86</v>
      </c>
      <c r="I25" s="12">
        <v>0</v>
      </c>
    </row>
    <row r="26" spans="2:9" ht="15" customHeight="1" x14ac:dyDescent="0.2">
      <c r="B26" t="s">
        <v>98</v>
      </c>
      <c r="C26" s="12">
        <v>170</v>
      </c>
      <c r="D26" s="8">
        <v>8.4</v>
      </c>
      <c r="E26" s="12">
        <v>25</v>
      </c>
      <c r="F26" s="8">
        <v>3.81</v>
      </c>
      <c r="G26" s="12">
        <v>145</v>
      </c>
      <c r="H26" s="8">
        <v>10.62</v>
      </c>
      <c r="I26" s="12">
        <v>0</v>
      </c>
    </row>
    <row r="27" spans="2:9" ht="15" customHeight="1" x14ac:dyDescent="0.2">
      <c r="B27" t="s">
        <v>112</v>
      </c>
      <c r="C27" s="12">
        <v>163</v>
      </c>
      <c r="D27" s="8">
        <v>8.0500000000000007</v>
      </c>
      <c r="E27" s="12">
        <v>131</v>
      </c>
      <c r="F27" s="8">
        <v>19.940000000000001</v>
      </c>
      <c r="G27" s="12">
        <v>32</v>
      </c>
      <c r="H27" s="8">
        <v>2.34</v>
      </c>
      <c r="I27" s="12">
        <v>0</v>
      </c>
    </row>
    <row r="28" spans="2:9" ht="15" customHeight="1" x14ac:dyDescent="0.2">
      <c r="B28" t="s">
        <v>97</v>
      </c>
      <c r="C28" s="12">
        <v>137</v>
      </c>
      <c r="D28" s="8">
        <v>6.77</v>
      </c>
      <c r="E28" s="12">
        <v>10</v>
      </c>
      <c r="F28" s="8">
        <v>1.52</v>
      </c>
      <c r="G28" s="12">
        <v>127</v>
      </c>
      <c r="H28" s="8">
        <v>9.3000000000000007</v>
      </c>
      <c r="I28" s="12">
        <v>0</v>
      </c>
    </row>
    <row r="29" spans="2:9" ht="15" customHeight="1" x14ac:dyDescent="0.2">
      <c r="B29" t="s">
        <v>99</v>
      </c>
      <c r="C29" s="12">
        <v>106</v>
      </c>
      <c r="D29" s="8">
        <v>5.23</v>
      </c>
      <c r="E29" s="12">
        <v>9</v>
      </c>
      <c r="F29" s="8">
        <v>1.37</v>
      </c>
      <c r="G29" s="12">
        <v>97</v>
      </c>
      <c r="H29" s="8">
        <v>7.11</v>
      </c>
      <c r="I29" s="12">
        <v>0</v>
      </c>
    </row>
    <row r="30" spans="2:9" ht="15" customHeight="1" x14ac:dyDescent="0.2">
      <c r="B30" t="s">
        <v>114</v>
      </c>
      <c r="C30" s="12">
        <v>83</v>
      </c>
      <c r="D30" s="8">
        <v>4.0999999999999996</v>
      </c>
      <c r="E30" s="12">
        <v>58</v>
      </c>
      <c r="F30" s="8">
        <v>8.83</v>
      </c>
      <c r="G30" s="12">
        <v>25</v>
      </c>
      <c r="H30" s="8">
        <v>1.83</v>
      </c>
      <c r="I30" s="12">
        <v>0</v>
      </c>
    </row>
    <row r="31" spans="2:9" ht="15" customHeight="1" x14ac:dyDescent="0.2">
      <c r="B31" t="s">
        <v>115</v>
      </c>
      <c r="C31" s="12">
        <v>78</v>
      </c>
      <c r="D31" s="8">
        <v>3.85</v>
      </c>
      <c r="E31" s="12">
        <v>64</v>
      </c>
      <c r="F31" s="8">
        <v>9.74</v>
      </c>
      <c r="G31" s="12">
        <v>14</v>
      </c>
      <c r="H31" s="8">
        <v>1.03</v>
      </c>
      <c r="I31" s="12">
        <v>0</v>
      </c>
    </row>
    <row r="32" spans="2:9" ht="15" customHeight="1" x14ac:dyDescent="0.2">
      <c r="B32" t="s">
        <v>106</v>
      </c>
      <c r="C32" s="12">
        <v>72</v>
      </c>
      <c r="D32" s="8">
        <v>3.56</v>
      </c>
      <c r="E32" s="12">
        <v>28</v>
      </c>
      <c r="F32" s="8">
        <v>4.26</v>
      </c>
      <c r="G32" s="12">
        <v>44</v>
      </c>
      <c r="H32" s="8">
        <v>3.22</v>
      </c>
      <c r="I32" s="12">
        <v>0</v>
      </c>
    </row>
    <row r="33" spans="2:9" ht="15" customHeight="1" x14ac:dyDescent="0.2">
      <c r="B33" t="s">
        <v>104</v>
      </c>
      <c r="C33" s="12">
        <v>69</v>
      </c>
      <c r="D33" s="8">
        <v>3.41</v>
      </c>
      <c r="E33" s="12">
        <v>44</v>
      </c>
      <c r="F33" s="8">
        <v>6.7</v>
      </c>
      <c r="G33" s="12">
        <v>25</v>
      </c>
      <c r="H33" s="8">
        <v>1.83</v>
      </c>
      <c r="I33" s="12">
        <v>0</v>
      </c>
    </row>
    <row r="34" spans="2:9" ht="15" customHeight="1" x14ac:dyDescent="0.2">
      <c r="B34" t="s">
        <v>109</v>
      </c>
      <c r="C34" s="12">
        <v>52</v>
      </c>
      <c r="D34" s="8">
        <v>2.57</v>
      </c>
      <c r="E34" s="12">
        <v>25</v>
      </c>
      <c r="F34" s="8">
        <v>3.81</v>
      </c>
      <c r="G34" s="12">
        <v>27</v>
      </c>
      <c r="H34" s="8">
        <v>1.98</v>
      </c>
      <c r="I34" s="12">
        <v>0</v>
      </c>
    </row>
    <row r="35" spans="2:9" ht="15" customHeight="1" x14ac:dyDescent="0.2">
      <c r="B35" t="s">
        <v>100</v>
      </c>
      <c r="C35" s="12">
        <v>47</v>
      </c>
      <c r="D35" s="8">
        <v>2.3199999999999998</v>
      </c>
      <c r="E35" s="12">
        <v>12</v>
      </c>
      <c r="F35" s="8">
        <v>1.83</v>
      </c>
      <c r="G35" s="12">
        <v>35</v>
      </c>
      <c r="H35" s="8">
        <v>2.56</v>
      </c>
      <c r="I35" s="12">
        <v>0</v>
      </c>
    </row>
    <row r="36" spans="2:9" ht="15" customHeight="1" x14ac:dyDescent="0.2">
      <c r="B36" t="s">
        <v>107</v>
      </c>
      <c r="C36" s="12">
        <v>38</v>
      </c>
      <c r="D36" s="8">
        <v>1.88</v>
      </c>
      <c r="E36" s="12">
        <v>1</v>
      </c>
      <c r="F36" s="8">
        <v>0.15</v>
      </c>
      <c r="G36" s="12">
        <v>37</v>
      </c>
      <c r="H36" s="8">
        <v>2.71</v>
      </c>
      <c r="I36" s="12">
        <v>0</v>
      </c>
    </row>
    <row r="37" spans="2:9" ht="15" customHeight="1" x14ac:dyDescent="0.2">
      <c r="B37" t="s">
        <v>118</v>
      </c>
      <c r="C37" s="12">
        <v>34</v>
      </c>
      <c r="D37" s="8">
        <v>1.68</v>
      </c>
      <c r="E37" s="12">
        <v>1</v>
      </c>
      <c r="F37" s="8">
        <v>0.15</v>
      </c>
      <c r="G37" s="12">
        <v>32</v>
      </c>
      <c r="H37" s="8">
        <v>2.34</v>
      </c>
      <c r="I37" s="12">
        <v>0</v>
      </c>
    </row>
    <row r="38" spans="2:9" ht="15" customHeight="1" x14ac:dyDescent="0.2">
      <c r="B38" t="s">
        <v>102</v>
      </c>
      <c r="C38" s="12">
        <v>32</v>
      </c>
      <c r="D38" s="8">
        <v>1.58</v>
      </c>
      <c r="E38" s="12">
        <v>3</v>
      </c>
      <c r="F38" s="8">
        <v>0.46</v>
      </c>
      <c r="G38" s="12">
        <v>29</v>
      </c>
      <c r="H38" s="8">
        <v>2.12</v>
      </c>
      <c r="I38" s="12">
        <v>0</v>
      </c>
    </row>
    <row r="39" spans="2:9" ht="15" customHeight="1" x14ac:dyDescent="0.2">
      <c r="B39" t="s">
        <v>105</v>
      </c>
      <c r="C39" s="12">
        <v>31</v>
      </c>
      <c r="D39" s="8">
        <v>1.53</v>
      </c>
      <c r="E39" s="12">
        <v>7</v>
      </c>
      <c r="F39" s="8">
        <v>1.07</v>
      </c>
      <c r="G39" s="12">
        <v>24</v>
      </c>
      <c r="H39" s="8">
        <v>1.76</v>
      </c>
      <c r="I39" s="12">
        <v>0</v>
      </c>
    </row>
    <row r="40" spans="2:9" ht="15" customHeight="1" x14ac:dyDescent="0.2">
      <c r="B40" t="s">
        <v>131</v>
      </c>
      <c r="C40" s="12">
        <v>28</v>
      </c>
      <c r="D40" s="8">
        <v>1.38</v>
      </c>
      <c r="E40" s="12">
        <v>5</v>
      </c>
      <c r="F40" s="8">
        <v>0.76</v>
      </c>
      <c r="G40" s="12">
        <v>23</v>
      </c>
      <c r="H40" s="8">
        <v>1.68</v>
      </c>
      <c r="I40" s="12">
        <v>0</v>
      </c>
    </row>
    <row r="41" spans="2:9" ht="15" customHeight="1" x14ac:dyDescent="0.2">
      <c r="B41" t="s">
        <v>116</v>
      </c>
      <c r="C41" s="12">
        <v>27</v>
      </c>
      <c r="D41" s="8">
        <v>1.33</v>
      </c>
      <c r="E41" s="12">
        <v>13</v>
      </c>
      <c r="F41" s="8">
        <v>1.98</v>
      </c>
      <c r="G41" s="12">
        <v>14</v>
      </c>
      <c r="H41" s="8">
        <v>1.03</v>
      </c>
      <c r="I41" s="12">
        <v>0</v>
      </c>
    </row>
    <row r="42" spans="2:9" ht="15" customHeight="1" x14ac:dyDescent="0.2">
      <c r="B42" t="s">
        <v>120</v>
      </c>
      <c r="C42" s="12">
        <v>26</v>
      </c>
      <c r="D42" s="8">
        <v>1.28</v>
      </c>
      <c r="E42" s="12">
        <v>5</v>
      </c>
      <c r="F42" s="8">
        <v>0.76</v>
      </c>
      <c r="G42" s="12">
        <v>21</v>
      </c>
      <c r="H42" s="8">
        <v>1.54</v>
      </c>
      <c r="I42" s="12">
        <v>0</v>
      </c>
    </row>
    <row r="43" spans="2:9" ht="15" customHeight="1" x14ac:dyDescent="0.2">
      <c r="B43" t="s">
        <v>101</v>
      </c>
      <c r="C43" s="12">
        <v>26</v>
      </c>
      <c r="D43" s="8">
        <v>1.28</v>
      </c>
      <c r="E43" s="12">
        <v>4</v>
      </c>
      <c r="F43" s="8">
        <v>0.61</v>
      </c>
      <c r="G43" s="12">
        <v>22</v>
      </c>
      <c r="H43" s="8">
        <v>1.61</v>
      </c>
      <c r="I43" s="12">
        <v>0</v>
      </c>
    </row>
    <row r="44" spans="2:9" ht="15" customHeight="1" x14ac:dyDescent="0.2">
      <c r="B44" t="s">
        <v>113</v>
      </c>
      <c r="C44" s="12">
        <v>26</v>
      </c>
      <c r="D44" s="8">
        <v>1.28</v>
      </c>
      <c r="E44" s="12">
        <v>4</v>
      </c>
      <c r="F44" s="8">
        <v>0.61</v>
      </c>
      <c r="G44" s="12">
        <v>22</v>
      </c>
      <c r="H44" s="8">
        <v>1.61</v>
      </c>
      <c r="I44" s="12">
        <v>0</v>
      </c>
    </row>
    <row r="45" spans="2:9" ht="15" customHeight="1" x14ac:dyDescent="0.2">
      <c r="B45" t="s">
        <v>119</v>
      </c>
      <c r="C45" s="12">
        <v>26</v>
      </c>
      <c r="D45" s="8">
        <v>1.28</v>
      </c>
      <c r="E45" s="12">
        <v>3</v>
      </c>
      <c r="F45" s="8">
        <v>0.46</v>
      </c>
      <c r="G45" s="12">
        <v>22</v>
      </c>
      <c r="H45" s="8">
        <v>1.61</v>
      </c>
      <c r="I45" s="12">
        <v>1</v>
      </c>
    </row>
    <row r="48" spans="2:9" ht="33" customHeight="1" x14ac:dyDescent="0.2">
      <c r="B48" t="s">
        <v>271</v>
      </c>
      <c r="C48" s="10" t="s">
        <v>90</v>
      </c>
      <c r="D48" s="10" t="s">
        <v>91</v>
      </c>
      <c r="E48" s="10" t="s">
        <v>92</v>
      </c>
      <c r="F48" s="10" t="s">
        <v>93</v>
      </c>
      <c r="G48" s="10" t="s">
        <v>94</v>
      </c>
      <c r="H48" s="10" t="s">
        <v>95</v>
      </c>
      <c r="I48" s="10" t="s">
        <v>96</v>
      </c>
    </row>
    <row r="49" spans="2:9" ht="15" customHeight="1" x14ac:dyDescent="0.2">
      <c r="B49" t="s">
        <v>167</v>
      </c>
      <c r="C49" s="12">
        <v>95</v>
      </c>
      <c r="D49" s="8">
        <v>4.6900000000000004</v>
      </c>
      <c r="E49" s="12">
        <v>4</v>
      </c>
      <c r="F49" s="8">
        <v>0.61</v>
      </c>
      <c r="G49" s="12">
        <v>91</v>
      </c>
      <c r="H49" s="8">
        <v>6.67</v>
      </c>
      <c r="I49" s="12">
        <v>0</v>
      </c>
    </row>
    <row r="50" spans="2:9" ht="15" customHeight="1" x14ac:dyDescent="0.2">
      <c r="B50" t="s">
        <v>173</v>
      </c>
      <c r="C50" s="12">
        <v>80</v>
      </c>
      <c r="D50" s="8">
        <v>3.95</v>
      </c>
      <c r="E50" s="12">
        <v>66</v>
      </c>
      <c r="F50" s="8">
        <v>10.050000000000001</v>
      </c>
      <c r="G50" s="12">
        <v>14</v>
      </c>
      <c r="H50" s="8">
        <v>1.03</v>
      </c>
      <c r="I50" s="12">
        <v>0</v>
      </c>
    </row>
    <row r="51" spans="2:9" ht="15" customHeight="1" x14ac:dyDescent="0.2">
      <c r="B51" t="s">
        <v>170</v>
      </c>
      <c r="C51" s="12">
        <v>59</v>
      </c>
      <c r="D51" s="8">
        <v>2.91</v>
      </c>
      <c r="E51" s="12">
        <v>45</v>
      </c>
      <c r="F51" s="8">
        <v>6.85</v>
      </c>
      <c r="G51" s="12">
        <v>14</v>
      </c>
      <c r="H51" s="8">
        <v>1.03</v>
      </c>
      <c r="I51" s="12">
        <v>0</v>
      </c>
    </row>
    <row r="52" spans="2:9" ht="15" customHeight="1" x14ac:dyDescent="0.2">
      <c r="B52" t="s">
        <v>166</v>
      </c>
      <c r="C52" s="12">
        <v>56</v>
      </c>
      <c r="D52" s="8">
        <v>2.77</v>
      </c>
      <c r="E52" s="12">
        <v>0</v>
      </c>
      <c r="F52" s="8">
        <v>0</v>
      </c>
      <c r="G52" s="12">
        <v>56</v>
      </c>
      <c r="H52" s="8">
        <v>4.0999999999999996</v>
      </c>
      <c r="I52" s="12">
        <v>0</v>
      </c>
    </row>
    <row r="53" spans="2:9" ht="15" customHeight="1" x14ac:dyDescent="0.2">
      <c r="B53" t="s">
        <v>174</v>
      </c>
      <c r="C53" s="12">
        <v>56</v>
      </c>
      <c r="D53" s="8">
        <v>2.77</v>
      </c>
      <c r="E53" s="12">
        <v>39</v>
      </c>
      <c r="F53" s="8">
        <v>5.94</v>
      </c>
      <c r="G53" s="12">
        <v>17</v>
      </c>
      <c r="H53" s="8">
        <v>1.25</v>
      </c>
      <c r="I53" s="12">
        <v>0</v>
      </c>
    </row>
    <row r="54" spans="2:9" ht="15" customHeight="1" x14ac:dyDescent="0.2">
      <c r="B54" t="s">
        <v>175</v>
      </c>
      <c r="C54" s="12">
        <v>53</v>
      </c>
      <c r="D54" s="8">
        <v>2.62</v>
      </c>
      <c r="E54" s="12">
        <v>42</v>
      </c>
      <c r="F54" s="8">
        <v>6.39</v>
      </c>
      <c r="G54" s="12">
        <v>11</v>
      </c>
      <c r="H54" s="8">
        <v>0.81</v>
      </c>
      <c r="I54" s="12">
        <v>0</v>
      </c>
    </row>
    <row r="55" spans="2:9" ht="15" customHeight="1" x14ac:dyDescent="0.2">
      <c r="B55" t="s">
        <v>168</v>
      </c>
      <c r="C55" s="12">
        <v>52</v>
      </c>
      <c r="D55" s="8">
        <v>2.57</v>
      </c>
      <c r="E55" s="12">
        <v>1</v>
      </c>
      <c r="F55" s="8">
        <v>0.15</v>
      </c>
      <c r="G55" s="12">
        <v>50</v>
      </c>
      <c r="H55" s="8">
        <v>3.66</v>
      </c>
      <c r="I55" s="12">
        <v>0</v>
      </c>
    </row>
    <row r="56" spans="2:9" ht="15" customHeight="1" x14ac:dyDescent="0.2">
      <c r="B56" t="s">
        <v>169</v>
      </c>
      <c r="C56" s="12">
        <v>46</v>
      </c>
      <c r="D56" s="8">
        <v>2.27</v>
      </c>
      <c r="E56" s="12">
        <v>38</v>
      </c>
      <c r="F56" s="8">
        <v>5.78</v>
      </c>
      <c r="G56" s="12">
        <v>8</v>
      </c>
      <c r="H56" s="8">
        <v>0.59</v>
      </c>
      <c r="I56" s="12">
        <v>0</v>
      </c>
    </row>
    <row r="57" spans="2:9" ht="15" customHeight="1" x14ac:dyDescent="0.2">
      <c r="B57" t="s">
        <v>172</v>
      </c>
      <c r="C57" s="12">
        <v>45</v>
      </c>
      <c r="D57" s="8">
        <v>2.2200000000000002</v>
      </c>
      <c r="E57" s="12">
        <v>43</v>
      </c>
      <c r="F57" s="8">
        <v>6.54</v>
      </c>
      <c r="G57" s="12">
        <v>2</v>
      </c>
      <c r="H57" s="8">
        <v>0.15</v>
      </c>
      <c r="I57" s="12">
        <v>0</v>
      </c>
    </row>
    <row r="58" spans="2:9" ht="15" customHeight="1" x14ac:dyDescent="0.2">
      <c r="B58" t="s">
        <v>161</v>
      </c>
      <c r="C58" s="12">
        <v>44</v>
      </c>
      <c r="D58" s="8">
        <v>2.17</v>
      </c>
      <c r="E58" s="12">
        <v>4</v>
      </c>
      <c r="F58" s="8">
        <v>0.61</v>
      </c>
      <c r="G58" s="12">
        <v>40</v>
      </c>
      <c r="H58" s="8">
        <v>2.93</v>
      </c>
      <c r="I58" s="12">
        <v>0</v>
      </c>
    </row>
    <row r="59" spans="2:9" ht="15" customHeight="1" x14ac:dyDescent="0.2">
      <c r="B59" t="s">
        <v>160</v>
      </c>
      <c r="C59" s="12">
        <v>42</v>
      </c>
      <c r="D59" s="8">
        <v>2.0699999999999998</v>
      </c>
      <c r="E59" s="12">
        <v>5</v>
      </c>
      <c r="F59" s="8">
        <v>0.76</v>
      </c>
      <c r="G59" s="12">
        <v>37</v>
      </c>
      <c r="H59" s="8">
        <v>2.71</v>
      </c>
      <c r="I59" s="12">
        <v>0</v>
      </c>
    </row>
    <row r="60" spans="2:9" ht="15" customHeight="1" x14ac:dyDescent="0.2">
      <c r="B60" t="s">
        <v>182</v>
      </c>
      <c r="C60" s="12">
        <v>40</v>
      </c>
      <c r="D60" s="8">
        <v>1.98</v>
      </c>
      <c r="E60" s="12">
        <v>5</v>
      </c>
      <c r="F60" s="8">
        <v>0.76</v>
      </c>
      <c r="G60" s="12">
        <v>35</v>
      </c>
      <c r="H60" s="8">
        <v>2.56</v>
      </c>
      <c r="I60" s="12">
        <v>0</v>
      </c>
    </row>
    <row r="61" spans="2:9" ht="15" customHeight="1" x14ac:dyDescent="0.2">
      <c r="B61" t="s">
        <v>197</v>
      </c>
      <c r="C61" s="12">
        <v>39</v>
      </c>
      <c r="D61" s="8">
        <v>1.93</v>
      </c>
      <c r="E61" s="12">
        <v>5</v>
      </c>
      <c r="F61" s="8">
        <v>0.76</v>
      </c>
      <c r="G61" s="12">
        <v>34</v>
      </c>
      <c r="H61" s="8">
        <v>2.4900000000000002</v>
      </c>
      <c r="I61" s="12">
        <v>0</v>
      </c>
    </row>
    <row r="62" spans="2:9" ht="15" customHeight="1" x14ac:dyDescent="0.2">
      <c r="B62" t="s">
        <v>177</v>
      </c>
      <c r="C62" s="12">
        <v>38</v>
      </c>
      <c r="D62" s="8">
        <v>1.88</v>
      </c>
      <c r="E62" s="12">
        <v>4</v>
      </c>
      <c r="F62" s="8">
        <v>0.61</v>
      </c>
      <c r="G62" s="12">
        <v>34</v>
      </c>
      <c r="H62" s="8">
        <v>2.4900000000000002</v>
      </c>
      <c r="I62" s="12">
        <v>0</v>
      </c>
    </row>
    <row r="63" spans="2:9" ht="15" customHeight="1" x14ac:dyDescent="0.2">
      <c r="B63" t="s">
        <v>158</v>
      </c>
      <c r="C63" s="12">
        <v>37</v>
      </c>
      <c r="D63" s="8">
        <v>1.83</v>
      </c>
      <c r="E63" s="12">
        <v>3</v>
      </c>
      <c r="F63" s="8">
        <v>0.46</v>
      </c>
      <c r="G63" s="12">
        <v>34</v>
      </c>
      <c r="H63" s="8">
        <v>2.4900000000000002</v>
      </c>
      <c r="I63" s="12">
        <v>0</v>
      </c>
    </row>
    <row r="64" spans="2:9" ht="15" customHeight="1" x14ac:dyDescent="0.2">
      <c r="B64" t="s">
        <v>157</v>
      </c>
      <c r="C64" s="12">
        <v>35</v>
      </c>
      <c r="D64" s="8">
        <v>1.73</v>
      </c>
      <c r="E64" s="12">
        <v>2</v>
      </c>
      <c r="F64" s="8">
        <v>0.3</v>
      </c>
      <c r="G64" s="12">
        <v>33</v>
      </c>
      <c r="H64" s="8">
        <v>2.42</v>
      </c>
      <c r="I64" s="12">
        <v>0</v>
      </c>
    </row>
    <row r="65" spans="2:9" ht="15" customHeight="1" x14ac:dyDescent="0.2">
      <c r="B65" t="s">
        <v>171</v>
      </c>
      <c r="C65" s="12">
        <v>34</v>
      </c>
      <c r="D65" s="8">
        <v>1.68</v>
      </c>
      <c r="E65" s="12">
        <v>21</v>
      </c>
      <c r="F65" s="8">
        <v>3.2</v>
      </c>
      <c r="G65" s="12">
        <v>13</v>
      </c>
      <c r="H65" s="8">
        <v>0.95</v>
      </c>
      <c r="I65" s="12">
        <v>0</v>
      </c>
    </row>
    <row r="66" spans="2:9" ht="15" customHeight="1" x14ac:dyDescent="0.2">
      <c r="B66" t="s">
        <v>164</v>
      </c>
      <c r="C66" s="12">
        <v>29</v>
      </c>
      <c r="D66" s="8">
        <v>1.43</v>
      </c>
      <c r="E66" s="12">
        <v>13</v>
      </c>
      <c r="F66" s="8">
        <v>1.98</v>
      </c>
      <c r="G66" s="12">
        <v>16</v>
      </c>
      <c r="H66" s="8">
        <v>1.17</v>
      </c>
      <c r="I66" s="12">
        <v>0</v>
      </c>
    </row>
    <row r="67" spans="2:9" ht="15" customHeight="1" x14ac:dyDescent="0.2">
      <c r="B67" t="s">
        <v>162</v>
      </c>
      <c r="C67" s="12">
        <v>27</v>
      </c>
      <c r="D67" s="8">
        <v>1.33</v>
      </c>
      <c r="E67" s="12">
        <v>16</v>
      </c>
      <c r="F67" s="8">
        <v>2.44</v>
      </c>
      <c r="G67" s="12">
        <v>11</v>
      </c>
      <c r="H67" s="8">
        <v>0.81</v>
      </c>
      <c r="I67" s="12">
        <v>0</v>
      </c>
    </row>
    <row r="68" spans="2:9" ht="15" customHeight="1" x14ac:dyDescent="0.2">
      <c r="B68" t="s">
        <v>165</v>
      </c>
      <c r="C68" s="12">
        <v>27</v>
      </c>
      <c r="D68" s="8">
        <v>1.33</v>
      </c>
      <c r="E68" s="12">
        <v>1</v>
      </c>
      <c r="F68" s="8">
        <v>0.15</v>
      </c>
      <c r="G68" s="12">
        <v>26</v>
      </c>
      <c r="H68" s="8">
        <v>1.9</v>
      </c>
      <c r="I68" s="12">
        <v>0</v>
      </c>
    </row>
    <row r="69" spans="2:9" ht="15" customHeight="1" x14ac:dyDescent="0.2">
      <c r="B69" t="s">
        <v>176</v>
      </c>
      <c r="C69" s="12">
        <v>27</v>
      </c>
      <c r="D69" s="8">
        <v>1.33</v>
      </c>
      <c r="E69" s="12">
        <v>13</v>
      </c>
      <c r="F69" s="8">
        <v>1.98</v>
      </c>
      <c r="G69" s="12">
        <v>14</v>
      </c>
      <c r="H69" s="8">
        <v>1.03</v>
      </c>
      <c r="I69" s="12">
        <v>0</v>
      </c>
    </row>
    <row r="71" spans="2:9" ht="15" customHeight="1" x14ac:dyDescent="0.2">
      <c r="B71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8AB56-6A83-4032-81E6-23F3A2102283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306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203</v>
      </c>
      <c r="D6" s="8">
        <v>15.9</v>
      </c>
      <c r="E6" s="12">
        <v>24</v>
      </c>
      <c r="F6" s="8">
        <v>5.22</v>
      </c>
      <c r="G6" s="12">
        <v>179</v>
      </c>
      <c r="H6" s="8">
        <v>21.91</v>
      </c>
      <c r="I6" s="12">
        <v>0</v>
      </c>
    </row>
    <row r="7" spans="2:9" ht="15" customHeight="1" x14ac:dyDescent="0.2">
      <c r="B7" t="s">
        <v>76</v>
      </c>
      <c r="C7" s="12">
        <v>142</v>
      </c>
      <c r="D7" s="8">
        <v>11.12</v>
      </c>
      <c r="E7" s="12">
        <v>27</v>
      </c>
      <c r="F7" s="8">
        <v>5.87</v>
      </c>
      <c r="G7" s="12">
        <v>115</v>
      </c>
      <c r="H7" s="8">
        <v>14.08</v>
      </c>
      <c r="I7" s="12">
        <v>0</v>
      </c>
    </row>
    <row r="8" spans="2:9" ht="15" customHeight="1" x14ac:dyDescent="0.2">
      <c r="B8" t="s">
        <v>77</v>
      </c>
      <c r="C8" s="12">
        <v>1</v>
      </c>
      <c r="D8" s="8">
        <v>0.08</v>
      </c>
      <c r="E8" s="12">
        <v>0</v>
      </c>
      <c r="F8" s="8">
        <v>0</v>
      </c>
      <c r="G8" s="12">
        <v>1</v>
      </c>
      <c r="H8" s="8">
        <v>0.12</v>
      </c>
      <c r="I8" s="12">
        <v>0</v>
      </c>
    </row>
    <row r="9" spans="2:9" ht="15" customHeight="1" x14ac:dyDescent="0.2">
      <c r="B9" t="s">
        <v>78</v>
      </c>
      <c r="C9" s="12">
        <v>21</v>
      </c>
      <c r="D9" s="8">
        <v>1.64</v>
      </c>
      <c r="E9" s="12">
        <v>1</v>
      </c>
      <c r="F9" s="8">
        <v>0.22</v>
      </c>
      <c r="G9" s="12">
        <v>20</v>
      </c>
      <c r="H9" s="8">
        <v>2.4500000000000002</v>
      </c>
      <c r="I9" s="12">
        <v>0</v>
      </c>
    </row>
    <row r="10" spans="2:9" ht="15" customHeight="1" x14ac:dyDescent="0.2">
      <c r="B10" t="s">
        <v>79</v>
      </c>
      <c r="C10" s="12">
        <v>17</v>
      </c>
      <c r="D10" s="8">
        <v>1.33</v>
      </c>
      <c r="E10" s="12">
        <v>1</v>
      </c>
      <c r="F10" s="8">
        <v>0.22</v>
      </c>
      <c r="G10" s="12">
        <v>16</v>
      </c>
      <c r="H10" s="8">
        <v>1.96</v>
      </c>
      <c r="I10" s="12">
        <v>0</v>
      </c>
    </row>
    <row r="11" spans="2:9" ht="15" customHeight="1" x14ac:dyDescent="0.2">
      <c r="B11" t="s">
        <v>80</v>
      </c>
      <c r="C11" s="12">
        <v>227</v>
      </c>
      <c r="D11" s="8">
        <v>17.78</v>
      </c>
      <c r="E11" s="12">
        <v>68</v>
      </c>
      <c r="F11" s="8">
        <v>14.78</v>
      </c>
      <c r="G11" s="12">
        <v>159</v>
      </c>
      <c r="H11" s="8">
        <v>19.46</v>
      </c>
      <c r="I11" s="12">
        <v>0</v>
      </c>
    </row>
    <row r="12" spans="2:9" ht="15" customHeight="1" x14ac:dyDescent="0.2">
      <c r="B12" t="s">
        <v>81</v>
      </c>
      <c r="C12" s="12">
        <v>6</v>
      </c>
      <c r="D12" s="8">
        <v>0.47</v>
      </c>
      <c r="E12" s="12">
        <v>0</v>
      </c>
      <c r="F12" s="8">
        <v>0</v>
      </c>
      <c r="G12" s="12">
        <v>6</v>
      </c>
      <c r="H12" s="8">
        <v>0.73</v>
      </c>
      <c r="I12" s="12">
        <v>0</v>
      </c>
    </row>
    <row r="13" spans="2:9" ht="15" customHeight="1" x14ac:dyDescent="0.2">
      <c r="B13" t="s">
        <v>82</v>
      </c>
      <c r="C13" s="12">
        <v>213</v>
      </c>
      <c r="D13" s="8">
        <v>16.68</v>
      </c>
      <c r="E13" s="12">
        <v>72</v>
      </c>
      <c r="F13" s="8">
        <v>15.65</v>
      </c>
      <c r="G13" s="12">
        <v>141</v>
      </c>
      <c r="H13" s="8">
        <v>17.260000000000002</v>
      </c>
      <c r="I13" s="12">
        <v>0</v>
      </c>
    </row>
    <row r="14" spans="2:9" ht="15" customHeight="1" x14ac:dyDescent="0.2">
      <c r="B14" t="s">
        <v>83</v>
      </c>
      <c r="C14" s="12">
        <v>77</v>
      </c>
      <c r="D14" s="8">
        <v>6.03</v>
      </c>
      <c r="E14" s="12">
        <v>31</v>
      </c>
      <c r="F14" s="8">
        <v>6.74</v>
      </c>
      <c r="G14" s="12">
        <v>46</v>
      </c>
      <c r="H14" s="8">
        <v>5.63</v>
      </c>
      <c r="I14" s="12">
        <v>0</v>
      </c>
    </row>
    <row r="15" spans="2:9" ht="15" customHeight="1" x14ac:dyDescent="0.2">
      <c r="B15" t="s">
        <v>84</v>
      </c>
      <c r="C15" s="12">
        <v>86</v>
      </c>
      <c r="D15" s="8">
        <v>6.73</v>
      </c>
      <c r="E15" s="12">
        <v>61</v>
      </c>
      <c r="F15" s="8">
        <v>13.26</v>
      </c>
      <c r="G15" s="12">
        <v>25</v>
      </c>
      <c r="H15" s="8">
        <v>3.06</v>
      </c>
      <c r="I15" s="12">
        <v>0</v>
      </c>
    </row>
    <row r="16" spans="2:9" ht="15" customHeight="1" x14ac:dyDescent="0.2">
      <c r="B16" t="s">
        <v>85</v>
      </c>
      <c r="C16" s="12">
        <v>140</v>
      </c>
      <c r="D16" s="8">
        <v>10.96</v>
      </c>
      <c r="E16" s="12">
        <v>99</v>
      </c>
      <c r="F16" s="8">
        <v>21.52</v>
      </c>
      <c r="G16" s="12">
        <v>41</v>
      </c>
      <c r="H16" s="8">
        <v>5.0199999999999996</v>
      </c>
      <c r="I16" s="12">
        <v>0</v>
      </c>
    </row>
    <row r="17" spans="2:9" ht="15" customHeight="1" x14ac:dyDescent="0.2">
      <c r="B17" t="s">
        <v>86</v>
      </c>
      <c r="C17" s="12">
        <v>41</v>
      </c>
      <c r="D17" s="8">
        <v>3.21</v>
      </c>
      <c r="E17" s="12">
        <v>28</v>
      </c>
      <c r="F17" s="8">
        <v>6.09</v>
      </c>
      <c r="G17" s="12">
        <v>13</v>
      </c>
      <c r="H17" s="8">
        <v>1.59</v>
      </c>
      <c r="I17" s="12">
        <v>0</v>
      </c>
    </row>
    <row r="18" spans="2:9" ht="15" customHeight="1" x14ac:dyDescent="0.2">
      <c r="B18" t="s">
        <v>87</v>
      </c>
      <c r="C18" s="12">
        <v>62</v>
      </c>
      <c r="D18" s="8">
        <v>4.8600000000000003</v>
      </c>
      <c r="E18" s="12">
        <v>40</v>
      </c>
      <c r="F18" s="8">
        <v>8.6999999999999993</v>
      </c>
      <c r="G18" s="12">
        <v>22</v>
      </c>
      <c r="H18" s="8">
        <v>2.69</v>
      </c>
      <c r="I18" s="12">
        <v>0</v>
      </c>
    </row>
    <row r="19" spans="2:9" ht="15" customHeight="1" x14ac:dyDescent="0.2">
      <c r="B19" t="s">
        <v>88</v>
      </c>
      <c r="C19" s="12">
        <v>41</v>
      </c>
      <c r="D19" s="8">
        <v>3.21</v>
      </c>
      <c r="E19" s="12">
        <v>8</v>
      </c>
      <c r="F19" s="8">
        <v>1.74</v>
      </c>
      <c r="G19" s="12">
        <v>33</v>
      </c>
      <c r="H19" s="8">
        <v>4.04</v>
      </c>
      <c r="I19" s="12">
        <v>0</v>
      </c>
    </row>
    <row r="20" spans="2:9" ht="15" customHeight="1" x14ac:dyDescent="0.2">
      <c r="B20" s="9" t="s">
        <v>269</v>
      </c>
      <c r="C20" s="12">
        <f>SUM(LTBL_11228[総数／事業所数])</f>
        <v>1277</v>
      </c>
      <c r="E20" s="12">
        <f>SUBTOTAL(109,LTBL_11228[個人／事業所数])</f>
        <v>460</v>
      </c>
      <c r="G20" s="12">
        <f>SUBTOTAL(109,LTBL_11228[法人／事業所数])</f>
        <v>817</v>
      </c>
      <c r="I20" s="12">
        <f>SUBTOTAL(109,LTBL_11228[法人以外の団体／事業所数])</f>
        <v>0</v>
      </c>
    </row>
    <row r="21" spans="2:9" ht="15" customHeight="1" x14ac:dyDescent="0.2">
      <c r="E21" s="11">
        <f>LTBL_11228[[#Totals],[個人／事業所数]]/LTBL_11228[[#Totals],[総数／事業所数]]</f>
        <v>0.36021926389976505</v>
      </c>
      <c r="G21" s="11">
        <f>LTBL_11228[[#Totals],[法人／事業所数]]/LTBL_11228[[#Totals],[総数／事業所数]]</f>
        <v>0.63978073610023489</v>
      </c>
      <c r="I21" s="11">
        <f>LTBL_11228[[#Totals],[法人以外の団体／事業所数]]/LTBL_11228[[#Totals],[総数／事業所数]]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108</v>
      </c>
      <c r="C24" s="12">
        <v>187</v>
      </c>
      <c r="D24" s="8">
        <v>14.64</v>
      </c>
      <c r="E24" s="12">
        <v>70</v>
      </c>
      <c r="F24" s="8">
        <v>15.22</v>
      </c>
      <c r="G24" s="12">
        <v>117</v>
      </c>
      <c r="H24" s="8">
        <v>14.32</v>
      </c>
      <c r="I24" s="12">
        <v>0</v>
      </c>
    </row>
    <row r="25" spans="2:9" ht="15" customHeight="1" x14ac:dyDescent="0.2">
      <c r="B25" t="s">
        <v>112</v>
      </c>
      <c r="C25" s="12">
        <v>110</v>
      </c>
      <c r="D25" s="8">
        <v>8.61</v>
      </c>
      <c r="E25" s="12">
        <v>89</v>
      </c>
      <c r="F25" s="8">
        <v>19.350000000000001</v>
      </c>
      <c r="G25" s="12">
        <v>21</v>
      </c>
      <c r="H25" s="8">
        <v>2.57</v>
      </c>
      <c r="I25" s="12">
        <v>0</v>
      </c>
    </row>
    <row r="26" spans="2:9" ht="15" customHeight="1" x14ac:dyDescent="0.2">
      <c r="B26" t="s">
        <v>98</v>
      </c>
      <c r="C26" s="12">
        <v>100</v>
      </c>
      <c r="D26" s="8">
        <v>7.83</v>
      </c>
      <c r="E26" s="12">
        <v>20</v>
      </c>
      <c r="F26" s="8">
        <v>4.3499999999999996</v>
      </c>
      <c r="G26" s="12">
        <v>80</v>
      </c>
      <c r="H26" s="8">
        <v>9.7899999999999991</v>
      </c>
      <c r="I26" s="12">
        <v>0</v>
      </c>
    </row>
    <row r="27" spans="2:9" ht="15" customHeight="1" x14ac:dyDescent="0.2">
      <c r="B27" t="s">
        <v>111</v>
      </c>
      <c r="C27" s="12">
        <v>77</v>
      </c>
      <c r="D27" s="8">
        <v>6.03</v>
      </c>
      <c r="E27" s="12">
        <v>59</v>
      </c>
      <c r="F27" s="8">
        <v>12.83</v>
      </c>
      <c r="G27" s="12">
        <v>18</v>
      </c>
      <c r="H27" s="8">
        <v>2.2000000000000002</v>
      </c>
      <c r="I27" s="12">
        <v>0</v>
      </c>
    </row>
    <row r="28" spans="2:9" ht="15" customHeight="1" x14ac:dyDescent="0.2">
      <c r="B28" t="s">
        <v>106</v>
      </c>
      <c r="C28" s="12">
        <v>61</v>
      </c>
      <c r="D28" s="8">
        <v>4.78</v>
      </c>
      <c r="E28" s="12">
        <v>25</v>
      </c>
      <c r="F28" s="8">
        <v>5.43</v>
      </c>
      <c r="G28" s="12">
        <v>36</v>
      </c>
      <c r="H28" s="8">
        <v>4.41</v>
      </c>
      <c r="I28" s="12">
        <v>0</v>
      </c>
    </row>
    <row r="29" spans="2:9" ht="15" customHeight="1" x14ac:dyDescent="0.2">
      <c r="B29" t="s">
        <v>97</v>
      </c>
      <c r="C29" s="12">
        <v>60</v>
      </c>
      <c r="D29" s="8">
        <v>4.7</v>
      </c>
      <c r="E29" s="12">
        <v>2</v>
      </c>
      <c r="F29" s="8">
        <v>0.43</v>
      </c>
      <c r="G29" s="12">
        <v>58</v>
      </c>
      <c r="H29" s="8">
        <v>7.1</v>
      </c>
      <c r="I29" s="12">
        <v>0</v>
      </c>
    </row>
    <row r="30" spans="2:9" ht="15" customHeight="1" x14ac:dyDescent="0.2">
      <c r="B30" t="s">
        <v>109</v>
      </c>
      <c r="C30" s="12">
        <v>54</v>
      </c>
      <c r="D30" s="8">
        <v>4.2300000000000004</v>
      </c>
      <c r="E30" s="12">
        <v>26</v>
      </c>
      <c r="F30" s="8">
        <v>5.65</v>
      </c>
      <c r="G30" s="12">
        <v>28</v>
      </c>
      <c r="H30" s="8">
        <v>3.43</v>
      </c>
      <c r="I30" s="12">
        <v>0</v>
      </c>
    </row>
    <row r="31" spans="2:9" ht="15" customHeight="1" x14ac:dyDescent="0.2">
      <c r="B31" t="s">
        <v>104</v>
      </c>
      <c r="C31" s="12">
        <v>47</v>
      </c>
      <c r="D31" s="8">
        <v>3.68</v>
      </c>
      <c r="E31" s="12">
        <v>21</v>
      </c>
      <c r="F31" s="8">
        <v>4.57</v>
      </c>
      <c r="G31" s="12">
        <v>26</v>
      </c>
      <c r="H31" s="8">
        <v>3.18</v>
      </c>
      <c r="I31" s="12">
        <v>0</v>
      </c>
    </row>
    <row r="32" spans="2:9" ht="15" customHeight="1" x14ac:dyDescent="0.2">
      <c r="B32" t="s">
        <v>115</v>
      </c>
      <c r="C32" s="12">
        <v>45</v>
      </c>
      <c r="D32" s="8">
        <v>3.52</v>
      </c>
      <c r="E32" s="12">
        <v>39</v>
      </c>
      <c r="F32" s="8">
        <v>8.48</v>
      </c>
      <c r="G32" s="12">
        <v>6</v>
      </c>
      <c r="H32" s="8">
        <v>0.73</v>
      </c>
      <c r="I32" s="12">
        <v>0</v>
      </c>
    </row>
    <row r="33" spans="2:9" ht="15" customHeight="1" x14ac:dyDescent="0.2">
      <c r="B33" t="s">
        <v>99</v>
      </c>
      <c r="C33" s="12">
        <v>43</v>
      </c>
      <c r="D33" s="8">
        <v>3.37</v>
      </c>
      <c r="E33" s="12">
        <v>2</v>
      </c>
      <c r="F33" s="8">
        <v>0.43</v>
      </c>
      <c r="G33" s="12">
        <v>41</v>
      </c>
      <c r="H33" s="8">
        <v>5.0199999999999996</v>
      </c>
      <c r="I33" s="12">
        <v>0</v>
      </c>
    </row>
    <row r="34" spans="2:9" ht="15" customHeight="1" x14ac:dyDescent="0.2">
      <c r="B34" t="s">
        <v>114</v>
      </c>
      <c r="C34" s="12">
        <v>41</v>
      </c>
      <c r="D34" s="8">
        <v>3.21</v>
      </c>
      <c r="E34" s="12">
        <v>28</v>
      </c>
      <c r="F34" s="8">
        <v>6.09</v>
      </c>
      <c r="G34" s="12">
        <v>13</v>
      </c>
      <c r="H34" s="8">
        <v>1.59</v>
      </c>
      <c r="I34" s="12">
        <v>0</v>
      </c>
    </row>
    <row r="35" spans="2:9" ht="15" customHeight="1" x14ac:dyDescent="0.2">
      <c r="B35" t="s">
        <v>103</v>
      </c>
      <c r="C35" s="12">
        <v>29</v>
      </c>
      <c r="D35" s="8">
        <v>2.27</v>
      </c>
      <c r="E35" s="12">
        <v>6</v>
      </c>
      <c r="F35" s="8">
        <v>1.3</v>
      </c>
      <c r="G35" s="12">
        <v>23</v>
      </c>
      <c r="H35" s="8">
        <v>2.82</v>
      </c>
      <c r="I35" s="12">
        <v>0</v>
      </c>
    </row>
    <row r="36" spans="2:9" ht="15" customHeight="1" x14ac:dyDescent="0.2">
      <c r="B36" t="s">
        <v>105</v>
      </c>
      <c r="C36" s="12">
        <v>26</v>
      </c>
      <c r="D36" s="8">
        <v>2.04</v>
      </c>
      <c r="E36" s="12">
        <v>11</v>
      </c>
      <c r="F36" s="8">
        <v>2.39</v>
      </c>
      <c r="G36" s="12">
        <v>15</v>
      </c>
      <c r="H36" s="8">
        <v>1.84</v>
      </c>
      <c r="I36" s="12">
        <v>0</v>
      </c>
    </row>
    <row r="37" spans="2:9" ht="15" customHeight="1" x14ac:dyDescent="0.2">
      <c r="B37" t="s">
        <v>107</v>
      </c>
      <c r="C37" s="12">
        <v>23</v>
      </c>
      <c r="D37" s="8">
        <v>1.8</v>
      </c>
      <c r="E37" s="12">
        <v>2</v>
      </c>
      <c r="F37" s="8">
        <v>0.43</v>
      </c>
      <c r="G37" s="12">
        <v>21</v>
      </c>
      <c r="H37" s="8">
        <v>2.57</v>
      </c>
      <c r="I37" s="12">
        <v>0</v>
      </c>
    </row>
    <row r="38" spans="2:9" ht="15" customHeight="1" x14ac:dyDescent="0.2">
      <c r="B38" t="s">
        <v>131</v>
      </c>
      <c r="C38" s="12">
        <v>20</v>
      </c>
      <c r="D38" s="8">
        <v>1.57</v>
      </c>
      <c r="E38" s="12">
        <v>1</v>
      </c>
      <c r="F38" s="8">
        <v>0.22</v>
      </c>
      <c r="G38" s="12">
        <v>19</v>
      </c>
      <c r="H38" s="8">
        <v>2.33</v>
      </c>
      <c r="I38" s="12">
        <v>0</v>
      </c>
    </row>
    <row r="39" spans="2:9" ht="15" customHeight="1" x14ac:dyDescent="0.2">
      <c r="B39" t="s">
        <v>110</v>
      </c>
      <c r="C39" s="12">
        <v>19</v>
      </c>
      <c r="D39" s="8">
        <v>1.49</v>
      </c>
      <c r="E39" s="12">
        <v>5</v>
      </c>
      <c r="F39" s="8">
        <v>1.0900000000000001</v>
      </c>
      <c r="G39" s="12">
        <v>14</v>
      </c>
      <c r="H39" s="8">
        <v>1.71</v>
      </c>
      <c r="I39" s="12">
        <v>0</v>
      </c>
    </row>
    <row r="40" spans="2:9" ht="15" customHeight="1" x14ac:dyDescent="0.2">
      <c r="B40" t="s">
        <v>113</v>
      </c>
      <c r="C40" s="12">
        <v>19</v>
      </c>
      <c r="D40" s="8">
        <v>1.49</v>
      </c>
      <c r="E40" s="12">
        <v>5</v>
      </c>
      <c r="F40" s="8">
        <v>1.0900000000000001</v>
      </c>
      <c r="G40" s="12">
        <v>14</v>
      </c>
      <c r="H40" s="8">
        <v>1.71</v>
      </c>
      <c r="I40" s="12">
        <v>0</v>
      </c>
    </row>
    <row r="41" spans="2:9" ht="15" customHeight="1" x14ac:dyDescent="0.2">
      <c r="B41" t="s">
        <v>116</v>
      </c>
      <c r="C41" s="12">
        <v>18</v>
      </c>
      <c r="D41" s="8">
        <v>1.41</v>
      </c>
      <c r="E41" s="12">
        <v>8</v>
      </c>
      <c r="F41" s="8">
        <v>1.74</v>
      </c>
      <c r="G41" s="12">
        <v>10</v>
      </c>
      <c r="H41" s="8">
        <v>1.22</v>
      </c>
      <c r="I41" s="12">
        <v>0</v>
      </c>
    </row>
    <row r="42" spans="2:9" ht="15" customHeight="1" x14ac:dyDescent="0.2">
      <c r="B42" t="s">
        <v>100</v>
      </c>
      <c r="C42" s="12">
        <v>17</v>
      </c>
      <c r="D42" s="8">
        <v>1.33</v>
      </c>
      <c r="E42" s="12">
        <v>4</v>
      </c>
      <c r="F42" s="8">
        <v>0.87</v>
      </c>
      <c r="G42" s="12">
        <v>13</v>
      </c>
      <c r="H42" s="8">
        <v>1.59</v>
      </c>
      <c r="I42" s="12">
        <v>0</v>
      </c>
    </row>
    <row r="43" spans="2:9" ht="15" customHeight="1" x14ac:dyDescent="0.2">
      <c r="B43" t="s">
        <v>125</v>
      </c>
      <c r="C43" s="12">
        <v>17</v>
      </c>
      <c r="D43" s="8">
        <v>1.33</v>
      </c>
      <c r="E43" s="12">
        <v>1</v>
      </c>
      <c r="F43" s="8">
        <v>0.22</v>
      </c>
      <c r="G43" s="12">
        <v>16</v>
      </c>
      <c r="H43" s="8">
        <v>1.96</v>
      </c>
      <c r="I43" s="12">
        <v>0</v>
      </c>
    </row>
    <row r="44" spans="2:9" ht="15" customHeight="1" x14ac:dyDescent="0.2">
      <c r="B44" t="s">
        <v>102</v>
      </c>
      <c r="C44" s="12">
        <v>17</v>
      </c>
      <c r="D44" s="8">
        <v>1.33</v>
      </c>
      <c r="E44" s="12">
        <v>0</v>
      </c>
      <c r="F44" s="8">
        <v>0</v>
      </c>
      <c r="G44" s="12">
        <v>17</v>
      </c>
      <c r="H44" s="8">
        <v>2.08</v>
      </c>
      <c r="I44" s="12">
        <v>0</v>
      </c>
    </row>
    <row r="45" spans="2:9" ht="15" customHeight="1" x14ac:dyDescent="0.2">
      <c r="B45" t="s">
        <v>118</v>
      </c>
      <c r="C45" s="12">
        <v>17</v>
      </c>
      <c r="D45" s="8">
        <v>1.33</v>
      </c>
      <c r="E45" s="12">
        <v>1</v>
      </c>
      <c r="F45" s="8">
        <v>0.22</v>
      </c>
      <c r="G45" s="12">
        <v>16</v>
      </c>
      <c r="H45" s="8">
        <v>1.96</v>
      </c>
      <c r="I45" s="12">
        <v>0</v>
      </c>
    </row>
    <row r="48" spans="2:9" ht="33" customHeight="1" x14ac:dyDescent="0.2">
      <c r="B48" t="s">
        <v>271</v>
      </c>
      <c r="C48" s="10" t="s">
        <v>90</v>
      </c>
      <c r="D48" s="10" t="s">
        <v>91</v>
      </c>
      <c r="E48" s="10" t="s">
        <v>92</v>
      </c>
      <c r="F48" s="10" t="s">
        <v>93</v>
      </c>
      <c r="G48" s="10" t="s">
        <v>94</v>
      </c>
      <c r="H48" s="10" t="s">
        <v>95</v>
      </c>
      <c r="I48" s="10" t="s">
        <v>96</v>
      </c>
    </row>
    <row r="49" spans="2:9" ht="15" customHeight="1" x14ac:dyDescent="0.2">
      <c r="B49" t="s">
        <v>167</v>
      </c>
      <c r="C49" s="12">
        <v>92</v>
      </c>
      <c r="D49" s="8">
        <v>7.2</v>
      </c>
      <c r="E49" s="12">
        <v>51</v>
      </c>
      <c r="F49" s="8">
        <v>11.09</v>
      </c>
      <c r="G49" s="12">
        <v>41</v>
      </c>
      <c r="H49" s="8">
        <v>5.0199999999999996</v>
      </c>
      <c r="I49" s="12">
        <v>0</v>
      </c>
    </row>
    <row r="50" spans="2:9" ht="15" customHeight="1" x14ac:dyDescent="0.2">
      <c r="B50" t="s">
        <v>173</v>
      </c>
      <c r="C50" s="12">
        <v>50</v>
      </c>
      <c r="D50" s="8">
        <v>3.92</v>
      </c>
      <c r="E50" s="12">
        <v>42</v>
      </c>
      <c r="F50" s="8">
        <v>9.1300000000000008</v>
      </c>
      <c r="G50" s="12">
        <v>8</v>
      </c>
      <c r="H50" s="8">
        <v>0.98</v>
      </c>
      <c r="I50" s="12">
        <v>0</v>
      </c>
    </row>
    <row r="51" spans="2:9" ht="15" customHeight="1" x14ac:dyDescent="0.2">
      <c r="B51" t="s">
        <v>168</v>
      </c>
      <c r="C51" s="12">
        <v>39</v>
      </c>
      <c r="D51" s="8">
        <v>3.05</v>
      </c>
      <c r="E51" s="12">
        <v>1</v>
      </c>
      <c r="F51" s="8">
        <v>0.22</v>
      </c>
      <c r="G51" s="12">
        <v>38</v>
      </c>
      <c r="H51" s="8">
        <v>4.6500000000000004</v>
      </c>
      <c r="I51" s="12">
        <v>0</v>
      </c>
    </row>
    <row r="52" spans="2:9" ht="15" customHeight="1" x14ac:dyDescent="0.2">
      <c r="B52" t="s">
        <v>166</v>
      </c>
      <c r="C52" s="12">
        <v>37</v>
      </c>
      <c r="D52" s="8">
        <v>2.9</v>
      </c>
      <c r="E52" s="12">
        <v>6</v>
      </c>
      <c r="F52" s="8">
        <v>1.3</v>
      </c>
      <c r="G52" s="12">
        <v>31</v>
      </c>
      <c r="H52" s="8">
        <v>3.79</v>
      </c>
      <c r="I52" s="12">
        <v>0</v>
      </c>
    </row>
    <row r="53" spans="2:9" ht="15" customHeight="1" x14ac:dyDescent="0.2">
      <c r="B53" t="s">
        <v>175</v>
      </c>
      <c r="C53" s="12">
        <v>34</v>
      </c>
      <c r="D53" s="8">
        <v>2.66</v>
      </c>
      <c r="E53" s="12">
        <v>31</v>
      </c>
      <c r="F53" s="8">
        <v>6.74</v>
      </c>
      <c r="G53" s="12">
        <v>3</v>
      </c>
      <c r="H53" s="8">
        <v>0.37</v>
      </c>
      <c r="I53" s="12">
        <v>0</v>
      </c>
    </row>
    <row r="54" spans="2:9" ht="15" customHeight="1" x14ac:dyDescent="0.2">
      <c r="B54" t="s">
        <v>172</v>
      </c>
      <c r="C54" s="12">
        <v>31</v>
      </c>
      <c r="D54" s="8">
        <v>2.4300000000000002</v>
      </c>
      <c r="E54" s="12">
        <v>29</v>
      </c>
      <c r="F54" s="8">
        <v>6.3</v>
      </c>
      <c r="G54" s="12">
        <v>2</v>
      </c>
      <c r="H54" s="8">
        <v>0.24</v>
      </c>
      <c r="I54" s="12">
        <v>0</v>
      </c>
    </row>
    <row r="55" spans="2:9" ht="15" customHeight="1" x14ac:dyDescent="0.2">
      <c r="B55" t="s">
        <v>174</v>
      </c>
      <c r="C55" s="12">
        <v>30</v>
      </c>
      <c r="D55" s="8">
        <v>2.35</v>
      </c>
      <c r="E55" s="12">
        <v>24</v>
      </c>
      <c r="F55" s="8">
        <v>5.22</v>
      </c>
      <c r="G55" s="12">
        <v>6</v>
      </c>
      <c r="H55" s="8">
        <v>0.73</v>
      </c>
      <c r="I55" s="12">
        <v>0</v>
      </c>
    </row>
    <row r="56" spans="2:9" ht="15" customHeight="1" x14ac:dyDescent="0.2">
      <c r="B56" t="s">
        <v>169</v>
      </c>
      <c r="C56" s="12">
        <v>29</v>
      </c>
      <c r="D56" s="8">
        <v>2.27</v>
      </c>
      <c r="E56" s="12">
        <v>19</v>
      </c>
      <c r="F56" s="8">
        <v>4.13</v>
      </c>
      <c r="G56" s="12">
        <v>10</v>
      </c>
      <c r="H56" s="8">
        <v>1.22</v>
      </c>
      <c r="I56" s="12">
        <v>0</v>
      </c>
    </row>
    <row r="57" spans="2:9" ht="15" customHeight="1" x14ac:dyDescent="0.2">
      <c r="B57" t="s">
        <v>170</v>
      </c>
      <c r="C57" s="12">
        <v>24</v>
      </c>
      <c r="D57" s="8">
        <v>1.88</v>
      </c>
      <c r="E57" s="12">
        <v>21</v>
      </c>
      <c r="F57" s="8">
        <v>4.57</v>
      </c>
      <c r="G57" s="12">
        <v>3</v>
      </c>
      <c r="H57" s="8">
        <v>0.37</v>
      </c>
      <c r="I57" s="12">
        <v>0</v>
      </c>
    </row>
    <row r="58" spans="2:9" ht="15" customHeight="1" x14ac:dyDescent="0.2">
      <c r="B58" t="s">
        <v>158</v>
      </c>
      <c r="C58" s="12">
        <v>21</v>
      </c>
      <c r="D58" s="8">
        <v>1.64</v>
      </c>
      <c r="E58" s="12">
        <v>1</v>
      </c>
      <c r="F58" s="8">
        <v>0.22</v>
      </c>
      <c r="G58" s="12">
        <v>20</v>
      </c>
      <c r="H58" s="8">
        <v>2.4500000000000002</v>
      </c>
      <c r="I58" s="12">
        <v>0</v>
      </c>
    </row>
    <row r="59" spans="2:9" ht="15" customHeight="1" x14ac:dyDescent="0.2">
      <c r="B59" t="s">
        <v>182</v>
      </c>
      <c r="C59" s="12">
        <v>20</v>
      </c>
      <c r="D59" s="8">
        <v>1.57</v>
      </c>
      <c r="E59" s="12">
        <v>2</v>
      </c>
      <c r="F59" s="8">
        <v>0.43</v>
      </c>
      <c r="G59" s="12">
        <v>18</v>
      </c>
      <c r="H59" s="8">
        <v>2.2000000000000002</v>
      </c>
      <c r="I59" s="12">
        <v>0</v>
      </c>
    </row>
    <row r="60" spans="2:9" ht="15" customHeight="1" x14ac:dyDescent="0.2">
      <c r="B60" t="s">
        <v>160</v>
      </c>
      <c r="C60" s="12">
        <v>20</v>
      </c>
      <c r="D60" s="8">
        <v>1.57</v>
      </c>
      <c r="E60" s="12">
        <v>2</v>
      </c>
      <c r="F60" s="8">
        <v>0.43</v>
      </c>
      <c r="G60" s="12">
        <v>18</v>
      </c>
      <c r="H60" s="8">
        <v>2.2000000000000002</v>
      </c>
      <c r="I60" s="12">
        <v>0</v>
      </c>
    </row>
    <row r="61" spans="2:9" ht="15" customHeight="1" x14ac:dyDescent="0.2">
      <c r="B61" t="s">
        <v>162</v>
      </c>
      <c r="C61" s="12">
        <v>20</v>
      </c>
      <c r="D61" s="8">
        <v>1.57</v>
      </c>
      <c r="E61" s="12">
        <v>8</v>
      </c>
      <c r="F61" s="8">
        <v>1.74</v>
      </c>
      <c r="G61" s="12">
        <v>12</v>
      </c>
      <c r="H61" s="8">
        <v>1.47</v>
      </c>
      <c r="I61" s="12">
        <v>0</v>
      </c>
    </row>
    <row r="62" spans="2:9" ht="15" customHeight="1" x14ac:dyDescent="0.2">
      <c r="B62" t="s">
        <v>177</v>
      </c>
      <c r="C62" s="12">
        <v>19</v>
      </c>
      <c r="D62" s="8">
        <v>1.49</v>
      </c>
      <c r="E62" s="12">
        <v>1</v>
      </c>
      <c r="F62" s="8">
        <v>0.22</v>
      </c>
      <c r="G62" s="12">
        <v>18</v>
      </c>
      <c r="H62" s="8">
        <v>2.2000000000000002</v>
      </c>
      <c r="I62" s="12">
        <v>0</v>
      </c>
    </row>
    <row r="63" spans="2:9" ht="15" customHeight="1" x14ac:dyDescent="0.2">
      <c r="B63" t="s">
        <v>189</v>
      </c>
      <c r="C63" s="12">
        <v>19</v>
      </c>
      <c r="D63" s="8">
        <v>1.49</v>
      </c>
      <c r="E63" s="12">
        <v>12</v>
      </c>
      <c r="F63" s="8">
        <v>2.61</v>
      </c>
      <c r="G63" s="12">
        <v>7</v>
      </c>
      <c r="H63" s="8">
        <v>0.86</v>
      </c>
      <c r="I63" s="12">
        <v>0</v>
      </c>
    </row>
    <row r="64" spans="2:9" ht="15" customHeight="1" x14ac:dyDescent="0.2">
      <c r="B64" t="s">
        <v>171</v>
      </c>
      <c r="C64" s="12">
        <v>19</v>
      </c>
      <c r="D64" s="8">
        <v>1.49</v>
      </c>
      <c r="E64" s="12">
        <v>10</v>
      </c>
      <c r="F64" s="8">
        <v>2.17</v>
      </c>
      <c r="G64" s="12">
        <v>9</v>
      </c>
      <c r="H64" s="8">
        <v>1.1000000000000001</v>
      </c>
      <c r="I64" s="12">
        <v>0</v>
      </c>
    </row>
    <row r="65" spans="2:9" ht="15" customHeight="1" x14ac:dyDescent="0.2">
      <c r="B65" t="s">
        <v>197</v>
      </c>
      <c r="C65" s="12">
        <v>18</v>
      </c>
      <c r="D65" s="8">
        <v>1.41</v>
      </c>
      <c r="E65" s="12">
        <v>4</v>
      </c>
      <c r="F65" s="8">
        <v>0.87</v>
      </c>
      <c r="G65" s="12">
        <v>14</v>
      </c>
      <c r="H65" s="8">
        <v>1.71</v>
      </c>
      <c r="I65" s="12">
        <v>0</v>
      </c>
    </row>
    <row r="66" spans="2:9" ht="15" customHeight="1" x14ac:dyDescent="0.2">
      <c r="B66" t="s">
        <v>176</v>
      </c>
      <c r="C66" s="12">
        <v>18</v>
      </c>
      <c r="D66" s="8">
        <v>1.41</v>
      </c>
      <c r="E66" s="12">
        <v>8</v>
      </c>
      <c r="F66" s="8">
        <v>1.74</v>
      </c>
      <c r="G66" s="12">
        <v>10</v>
      </c>
      <c r="H66" s="8">
        <v>1.22</v>
      </c>
      <c r="I66" s="12">
        <v>0</v>
      </c>
    </row>
    <row r="67" spans="2:9" ht="15" customHeight="1" x14ac:dyDescent="0.2">
      <c r="B67" t="s">
        <v>188</v>
      </c>
      <c r="C67" s="12">
        <v>17</v>
      </c>
      <c r="D67" s="8">
        <v>1.33</v>
      </c>
      <c r="E67" s="12">
        <v>8</v>
      </c>
      <c r="F67" s="8">
        <v>1.74</v>
      </c>
      <c r="G67" s="12">
        <v>9</v>
      </c>
      <c r="H67" s="8">
        <v>1.1000000000000001</v>
      </c>
      <c r="I67" s="12">
        <v>0</v>
      </c>
    </row>
    <row r="68" spans="2:9" ht="15" customHeight="1" x14ac:dyDescent="0.2">
      <c r="B68" t="s">
        <v>161</v>
      </c>
      <c r="C68" s="12">
        <v>16</v>
      </c>
      <c r="D68" s="8">
        <v>1.25</v>
      </c>
      <c r="E68" s="12">
        <v>0</v>
      </c>
      <c r="F68" s="8">
        <v>0</v>
      </c>
      <c r="G68" s="12">
        <v>16</v>
      </c>
      <c r="H68" s="8">
        <v>1.96</v>
      </c>
      <c r="I68" s="12">
        <v>0</v>
      </c>
    </row>
    <row r="70" spans="2:9" ht="15" customHeight="1" x14ac:dyDescent="0.2">
      <c r="B70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54CE5-3685-4AF6-B088-1D3F534E869E}">
  <sheetPr>
    <pageSetUpPr fitToPage="1"/>
  </sheetPr>
  <dimension ref="A1:I1742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155</v>
      </c>
      <c r="B1" s="3" t="s">
        <v>266</v>
      </c>
      <c r="C1" s="7" t="s">
        <v>90</v>
      </c>
      <c r="D1" s="7" t="s">
        <v>91</v>
      </c>
      <c r="E1" s="7" t="s">
        <v>92</v>
      </c>
      <c r="F1" s="7" t="s">
        <v>93</v>
      </c>
      <c r="G1" s="7" t="s">
        <v>94</v>
      </c>
      <c r="H1" s="7" t="s">
        <v>95</v>
      </c>
      <c r="I1" s="7" t="s">
        <v>96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173</v>
      </c>
      <c r="C3" s="4">
        <v>6206</v>
      </c>
      <c r="D3" s="8">
        <v>4.66</v>
      </c>
      <c r="E3" s="4">
        <v>5284</v>
      </c>
      <c r="F3" s="8">
        <v>9.19</v>
      </c>
      <c r="G3" s="4">
        <v>921</v>
      </c>
      <c r="H3" s="8">
        <v>1.23</v>
      </c>
      <c r="I3" s="4">
        <v>1</v>
      </c>
    </row>
    <row r="4" spans="1:9" x14ac:dyDescent="0.2">
      <c r="A4" s="2">
        <v>2</v>
      </c>
      <c r="B4" s="1" t="s">
        <v>167</v>
      </c>
      <c r="C4" s="4">
        <v>5519</v>
      </c>
      <c r="D4" s="8">
        <v>4.1399999999999997</v>
      </c>
      <c r="E4" s="4">
        <v>2393</v>
      </c>
      <c r="F4" s="8">
        <v>4.16</v>
      </c>
      <c r="G4" s="4">
        <v>3122</v>
      </c>
      <c r="H4" s="8">
        <v>4.16</v>
      </c>
      <c r="I4" s="4">
        <v>0</v>
      </c>
    </row>
    <row r="5" spans="1:9" x14ac:dyDescent="0.2">
      <c r="A5" s="2">
        <v>3</v>
      </c>
      <c r="B5" s="1" t="s">
        <v>172</v>
      </c>
      <c r="C5" s="4">
        <v>3991</v>
      </c>
      <c r="D5" s="8">
        <v>2.99</v>
      </c>
      <c r="E5" s="4">
        <v>3716</v>
      </c>
      <c r="F5" s="8">
        <v>6.47</v>
      </c>
      <c r="G5" s="4">
        <v>275</v>
      </c>
      <c r="H5" s="8">
        <v>0.37</v>
      </c>
      <c r="I5" s="4">
        <v>0</v>
      </c>
    </row>
    <row r="6" spans="1:9" x14ac:dyDescent="0.2">
      <c r="A6" s="2">
        <v>4</v>
      </c>
      <c r="B6" s="1" t="s">
        <v>175</v>
      </c>
      <c r="C6" s="4">
        <v>3468</v>
      </c>
      <c r="D6" s="8">
        <v>2.6</v>
      </c>
      <c r="E6" s="4">
        <v>3032</v>
      </c>
      <c r="F6" s="8">
        <v>5.28</v>
      </c>
      <c r="G6" s="4">
        <v>436</v>
      </c>
      <c r="H6" s="8">
        <v>0.57999999999999996</v>
      </c>
      <c r="I6" s="4">
        <v>0</v>
      </c>
    </row>
    <row r="7" spans="1:9" x14ac:dyDescent="0.2">
      <c r="A7" s="2">
        <v>5</v>
      </c>
      <c r="B7" s="1" t="s">
        <v>170</v>
      </c>
      <c r="C7" s="4">
        <v>3395</v>
      </c>
      <c r="D7" s="8">
        <v>2.5499999999999998</v>
      </c>
      <c r="E7" s="4">
        <v>3026</v>
      </c>
      <c r="F7" s="8">
        <v>5.27</v>
      </c>
      <c r="G7" s="4">
        <v>368</v>
      </c>
      <c r="H7" s="8">
        <v>0.49</v>
      </c>
      <c r="I7" s="4">
        <v>1</v>
      </c>
    </row>
    <row r="8" spans="1:9" x14ac:dyDescent="0.2">
      <c r="A8" s="2">
        <v>6</v>
      </c>
      <c r="B8" s="1" t="s">
        <v>174</v>
      </c>
      <c r="C8" s="4">
        <v>3307</v>
      </c>
      <c r="D8" s="8">
        <v>2.48</v>
      </c>
      <c r="E8" s="4">
        <v>2555</v>
      </c>
      <c r="F8" s="8">
        <v>4.45</v>
      </c>
      <c r="G8" s="4">
        <v>744</v>
      </c>
      <c r="H8" s="8">
        <v>0.99</v>
      </c>
      <c r="I8" s="4">
        <v>8</v>
      </c>
    </row>
    <row r="9" spans="1:9" x14ac:dyDescent="0.2">
      <c r="A9" s="2">
        <v>7</v>
      </c>
      <c r="B9" s="1" t="s">
        <v>169</v>
      </c>
      <c r="C9" s="4">
        <v>3231</v>
      </c>
      <c r="D9" s="8">
        <v>2.42</v>
      </c>
      <c r="E9" s="4">
        <v>2564</v>
      </c>
      <c r="F9" s="8">
        <v>4.46</v>
      </c>
      <c r="G9" s="4">
        <v>667</v>
      </c>
      <c r="H9" s="8">
        <v>0.89</v>
      </c>
      <c r="I9" s="4">
        <v>0</v>
      </c>
    </row>
    <row r="10" spans="1:9" x14ac:dyDescent="0.2">
      <c r="A10" s="2">
        <v>8</v>
      </c>
      <c r="B10" s="1" t="s">
        <v>166</v>
      </c>
      <c r="C10" s="4">
        <v>2785</v>
      </c>
      <c r="D10" s="8">
        <v>2.09</v>
      </c>
      <c r="E10" s="4">
        <v>385</v>
      </c>
      <c r="F10" s="8">
        <v>0.67</v>
      </c>
      <c r="G10" s="4">
        <v>2399</v>
      </c>
      <c r="H10" s="8">
        <v>3.2</v>
      </c>
      <c r="I10" s="4">
        <v>1</v>
      </c>
    </row>
    <row r="11" spans="1:9" x14ac:dyDescent="0.2">
      <c r="A11" s="2">
        <v>9</v>
      </c>
      <c r="B11" s="1" t="s">
        <v>161</v>
      </c>
      <c r="C11" s="4">
        <v>2282</v>
      </c>
      <c r="D11" s="8">
        <v>1.71</v>
      </c>
      <c r="E11" s="4">
        <v>390</v>
      </c>
      <c r="F11" s="8">
        <v>0.68</v>
      </c>
      <c r="G11" s="4">
        <v>1892</v>
      </c>
      <c r="H11" s="8">
        <v>2.52</v>
      </c>
      <c r="I11" s="4">
        <v>0</v>
      </c>
    </row>
    <row r="12" spans="1:9" x14ac:dyDescent="0.2">
      <c r="A12" s="2">
        <v>10</v>
      </c>
      <c r="B12" s="1" t="s">
        <v>160</v>
      </c>
      <c r="C12" s="4">
        <v>2276</v>
      </c>
      <c r="D12" s="8">
        <v>1.71</v>
      </c>
      <c r="E12" s="4">
        <v>476</v>
      </c>
      <c r="F12" s="8">
        <v>0.83</v>
      </c>
      <c r="G12" s="4">
        <v>1799</v>
      </c>
      <c r="H12" s="8">
        <v>2.4</v>
      </c>
      <c r="I12" s="4">
        <v>1</v>
      </c>
    </row>
    <row r="13" spans="1:9" x14ac:dyDescent="0.2">
      <c r="A13" s="2">
        <v>11</v>
      </c>
      <c r="B13" s="1" t="s">
        <v>164</v>
      </c>
      <c r="C13" s="4">
        <v>2145</v>
      </c>
      <c r="D13" s="8">
        <v>1.61</v>
      </c>
      <c r="E13" s="4">
        <v>1196</v>
      </c>
      <c r="F13" s="8">
        <v>2.08</v>
      </c>
      <c r="G13" s="4">
        <v>946</v>
      </c>
      <c r="H13" s="8">
        <v>1.26</v>
      </c>
      <c r="I13" s="4">
        <v>3</v>
      </c>
    </row>
    <row r="14" spans="1:9" x14ac:dyDescent="0.2">
      <c r="A14" s="2">
        <v>12</v>
      </c>
      <c r="B14" s="1" t="s">
        <v>163</v>
      </c>
      <c r="C14" s="4">
        <v>2077</v>
      </c>
      <c r="D14" s="8">
        <v>1.56</v>
      </c>
      <c r="E14" s="4">
        <v>845</v>
      </c>
      <c r="F14" s="8">
        <v>1.47</v>
      </c>
      <c r="G14" s="4">
        <v>1232</v>
      </c>
      <c r="H14" s="8">
        <v>1.64</v>
      </c>
      <c r="I14" s="4">
        <v>0</v>
      </c>
    </row>
    <row r="15" spans="1:9" x14ac:dyDescent="0.2">
      <c r="A15" s="2">
        <v>13</v>
      </c>
      <c r="B15" s="1" t="s">
        <v>159</v>
      </c>
      <c r="C15" s="4">
        <v>2076</v>
      </c>
      <c r="D15" s="8">
        <v>1.56</v>
      </c>
      <c r="E15" s="4">
        <v>885</v>
      </c>
      <c r="F15" s="8">
        <v>1.54</v>
      </c>
      <c r="G15" s="4">
        <v>1191</v>
      </c>
      <c r="H15" s="8">
        <v>1.59</v>
      </c>
      <c r="I15" s="4">
        <v>0</v>
      </c>
    </row>
    <row r="16" spans="1:9" x14ac:dyDescent="0.2">
      <c r="A16" s="2">
        <v>14</v>
      </c>
      <c r="B16" s="1" t="s">
        <v>168</v>
      </c>
      <c r="C16" s="4">
        <v>1962</v>
      </c>
      <c r="D16" s="8">
        <v>1.47</v>
      </c>
      <c r="E16" s="4">
        <v>68</v>
      </c>
      <c r="F16" s="8">
        <v>0.12</v>
      </c>
      <c r="G16" s="4">
        <v>1876</v>
      </c>
      <c r="H16" s="8">
        <v>2.5</v>
      </c>
      <c r="I16" s="4">
        <v>12</v>
      </c>
    </row>
    <row r="17" spans="1:9" x14ac:dyDescent="0.2">
      <c r="A17" s="2">
        <v>15</v>
      </c>
      <c r="B17" s="1" t="s">
        <v>176</v>
      </c>
      <c r="C17" s="4">
        <v>1936</v>
      </c>
      <c r="D17" s="8">
        <v>1.45</v>
      </c>
      <c r="E17" s="4">
        <v>1172</v>
      </c>
      <c r="F17" s="8">
        <v>2.04</v>
      </c>
      <c r="G17" s="4">
        <v>764</v>
      </c>
      <c r="H17" s="8">
        <v>1.02</v>
      </c>
      <c r="I17" s="4">
        <v>0</v>
      </c>
    </row>
    <row r="18" spans="1:9" x14ac:dyDescent="0.2">
      <c r="A18" s="2">
        <v>16</v>
      </c>
      <c r="B18" s="1" t="s">
        <v>162</v>
      </c>
      <c r="C18" s="4">
        <v>1908</v>
      </c>
      <c r="D18" s="8">
        <v>1.43</v>
      </c>
      <c r="E18" s="4">
        <v>1189</v>
      </c>
      <c r="F18" s="8">
        <v>2.0699999999999998</v>
      </c>
      <c r="G18" s="4">
        <v>715</v>
      </c>
      <c r="H18" s="8">
        <v>0.95</v>
      </c>
      <c r="I18" s="4">
        <v>4</v>
      </c>
    </row>
    <row r="19" spans="1:9" x14ac:dyDescent="0.2">
      <c r="A19" s="2">
        <v>17</v>
      </c>
      <c r="B19" s="1" t="s">
        <v>158</v>
      </c>
      <c r="C19" s="4">
        <v>1898</v>
      </c>
      <c r="D19" s="8">
        <v>1.42</v>
      </c>
      <c r="E19" s="4">
        <v>274</v>
      </c>
      <c r="F19" s="8">
        <v>0.48</v>
      </c>
      <c r="G19" s="4">
        <v>1624</v>
      </c>
      <c r="H19" s="8">
        <v>2.16</v>
      </c>
      <c r="I19" s="4">
        <v>0</v>
      </c>
    </row>
    <row r="20" spans="1:9" x14ac:dyDescent="0.2">
      <c r="A20" s="2">
        <v>18</v>
      </c>
      <c r="B20" s="1" t="s">
        <v>157</v>
      </c>
      <c r="C20" s="4">
        <v>1887</v>
      </c>
      <c r="D20" s="8">
        <v>1.42</v>
      </c>
      <c r="E20" s="4">
        <v>168</v>
      </c>
      <c r="F20" s="8">
        <v>0.28999999999999998</v>
      </c>
      <c r="G20" s="4">
        <v>1719</v>
      </c>
      <c r="H20" s="8">
        <v>2.29</v>
      </c>
      <c r="I20" s="4">
        <v>0</v>
      </c>
    </row>
    <row r="21" spans="1:9" x14ac:dyDescent="0.2">
      <c r="A21" s="2">
        <v>19</v>
      </c>
      <c r="B21" s="1" t="s">
        <v>171</v>
      </c>
      <c r="C21" s="4">
        <v>1749</v>
      </c>
      <c r="D21" s="8">
        <v>1.31</v>
      </c>
      <c r="E21" s="4">
        <v>963</v>
      </c>
      <c r="F21" s="8">
        <v>1.68</v>
      </c>
      <c r="G21" s="4">
        <v>786</v>
      </c>
      <c r="H21" s="8">
        <v>1.05</v>
      </c>
      <c r="I21" s="4">
        <v>0</v>
      </c>
    </row>
    <row r="22" spans="1:9" x14ac:dyDescent="0.2">
      <c r="A22" s="2">
        <v>20</v>
      </c>
      <c r="B22" s="1" t="s">
        <v>165</v>
      </c>
      <c r="C22" s="4">
        <v>1739</v>
      </c>
      <c r="D22" s="8">
        <v>1.3</v>
      </c>
      <c r="E22" s="4">
        <v>174</v>
      </c>
      <c r="F22" s="8">
        <v>0.3</v>
      </c>
      <c r="G22" s="4">
        <v>1565</v>
      </c>
      <c r="H22" s="8">
        <v>2.08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167</v>
      </c>
      <c r="C25" s="4">
        <v>1066</v>
      </c>
      <c r="D25" s="8">
        <v>5.1100000000000003</v>
      </c>
      <c r="E25" s="4">
        <v>367</v>
      </c>
      <c r="F25" s="8">
        <v>5</v>
      </c>
      <c r="G25" s="4">
        <v>699</v>
      </c>
      <c r="H25" s="8">
        <v>5.2</v>
      </c>
      <c r="I25" s="4">
        <v>0</v>
      </c>
    </row>
    <row r="26" spans="1:9" x14ac:dyDescent="0.2">
      <c r="A26" s="2">
        <v>2</v>
      </c>
      <c r="B26" s="1" t="s">
        <v>173</v>
      </c>
      <c r="C26" s="4">
        <v>861</v>
      </c>
      <c r="D26" s="8">
        <v>4.13</v>
      </c>
      <c r="E26" s="4">
        <v>677</v>
      </c>
      <c r="F26" s="8">
        <v>9.23</v>
      </c>
      <c r="G26" s="4">
        <v>184</v>
      </c>
      <c r="H26" s="8">
        <v>1.37</v>
      </c>
      <c r="I26" s="4">
        <v>0</v>
      </c>
    </row>
    <row r="27" spans="1:9" x14ac:dyDescent="0.2">
      <c r="A27" s="2">
        <v>3</v>
      </c>
      <c r="B27" s="1" t="s">
        <v>175</v>
      </c>
      <c r="C27" s="4">
        <v>605</v>
      </c>
      <c r="D27" s="8">
        <v>2.9</v>
      </c>
      <c r="E27" s="4">
        <v>521</v>
      </c>
      <c r="F27" s="8">
        <v>7.1</v>
      </c>
      <c r="G27" s="4">
        <v>84</v>
      </c>
      <c r="H27" s="8">
        <v>0.62</v>
      </c>
      <c r="I27" s="4">
        <v>0</v>
      </c>
    </row>
    <row r="28" spans="1:9" x14ac:dyDescent="0.2">
      <c r="A28" s="2">
        <v>4</v>
      </c>
      <c r="B28" s="1" t="s">
        <v>174</v>
      </c>
      <c r="C28" s="4">
        <v>578</v>
      </c>
      <c r="D28" s="8">
        <v>2.77</v>
      </c>
      <c r="E28" s="4">
        <v>402</v>
      </c>
      <c r="F28" s="8">
        <v>5.48</v>
      </c>
      <c r="G28" s="4">
        <v>176</v>
      </c>
      <c r="H28" s="8">
        <v>1.31</v>
      </c>
      <c r="I28" s="4">
        <v>0</v>
      </c>
    </row>
    <row r="29" spans="1:9" x14ac:dyDescent="0.2">
      <c r="A29" s="2">
        <v>5</v>
      </c>
      <c r="B29" s="1" t="s">
        <v>172</v>
      </c>
      <c r="C29" s="4">
        <v>555</v>
      </c>
      <c r="D29" s="8">
        <v>2.66</v>
      </c>
      <c r="E29" s="4">
        <v>495</v>
      </c>
      <c r="F29" s="8">
        <v>6.75</v>
      </c>
      <c r="G29" s="4">
        <v>60</v>
      </c>
      <c r="H29" s="8">
        <v>0.45</v>
      </c>
      <c r="I29" s="4">
        <v>0</v>
      </c>
    </row>
    <row r="30" spans="1:9" x14ac:dyDescent="0.2">
      <c r="A30" s="2">
        <v>6</v>
      </c>
      <c r="B30" s="1" t="s">
        <v>166</v>
      </c>
      <c r="C30" s="4">
        <v>490</v>
      </c>
      <c r="D30" s="8">
        <v>2.35</v>
      </c>
      <c r="E30" s="4">
        <v>52</v>
      </c>
      <c r="F30" s="8">
        <v>0.71</v>
      </c>
      <c r="G30" s="4">
        <v>438</v>
      </c>
      <c r="H30" s="8">
        <v>3.26</v>
      </c>
      <c r="I30" s="4">
        <v>0</v>
      </c>
    </row>
    <row r="31" spans="1:9" x14ac:dyDescent="0.2">
      <c r="A31" s="2">
        <v>7</v>
      </c>
      <c r="B31" s="1" t="s">
        <v>168</v>
      </c>
      <c r="C31" s="4">
        <v>487</v>
      </c>
      <c r="D31" s="8">
        <v>2.33</v>
      </c>
      <c r="E31" s="4">
        <v>17</v>
      </c>
      <c r="F31" s="8">
        <v>0.23</v>
      </c>
      <c r="G31" s="4">
        <v>468</v>
      </c>
      <c r="H31" s="8">
        <v>3.48</v>
      </c>
      <c r="I31" s="4">
        <v>1</v>
      </c>
    </row>
    <row r="32" spans="1:9" x14ac:dyDescent="0.2">
      <c r="A32" s="2">
        <v>8</v>
      </c>
      <c r="B32" s="1" t="s">
        <v>169</v>
      </c>
      <c r="C32" s="4">
        <v>452</v>
      </c>
      <c r="D32" s="8">
        <v>2.17</v>
      </c>
      <c r="E32" s="4">
        <v>338</v>
      </c>
      <c r="F32" s="8">
        <v>4.6100000000000003</v>
      </c>
      <c r="G32" s="4">
        <v>114</v>
      </c>
      <c r="H32" s="8">
        <v>0.85</v>
      </c>
      <c r="I32" s="4">
        <v>0</v>
      </c>
    </row>
    <row r="33" spans="1:9" x14ac:dyDescent="0.2">
      <c r="A33" s="2">
        <v>9</v>
      </c>
      <c r="B33" s="1" t="s">
        <v>170</v>
      </c>
      <c r="C33" s="4">
        <v>430</v>
      </c>
      <c r="D33" s="8">
        <v>2.06</v>
      </c>
      <c r="E33" s="4">
        <v>352</v>
      </c>
      <c r="F33" s="8">
        <v>4.8</v>
      </c>
      <c r="G33" s="4">
        <v>78</v>
      </c>
      <c r="H33" s="8">
        <v>0.57999999999999996</v>
      </c>
      <c r="I33" s="4">
        <v>0</v>
      </c>
    </row>
    <row r="34" spans="1:9" x14ac:dyDescent="0.2">
      <c r="A34" s="2">
        <v>10</v>
      </c>
      <c r="B34" s="1" t="s">
        <v>178</v>
      </c>
      <c r="C34" s="4">
        <v>416</v>
      </c>
      <c r="D34" s="8">
        <v>1.99</v>
      </c>
      <c r="E34" s="4">
        <v>73</v>
      </c>
      <c r="F34" s="8">
        <v>0.99</v>
      </c>
      <c r="G34" s="4">
        <v>339</v>
      </c>
      <c r="H34" s="8">
        <v>2.52</v>
      </c>
      <c r="I34" s="4">
        <v>1</v>
      </c>
    </row>
    <row r="35" spans="1:9" x14ac:dyDescent="0.2">
      <c r="A35" s="2">
        <v>11</v>
      </c>
      <c r="B35" s="1" t="s">
        <v>165</v>
      </c>
      <c r="C35" s="4">
        <v>368</v>
      </c>
      <c r="D35" s="8">
        <v>1.76</v>
      </c>
      <c r="E35" s="4">
        <v>21</v>
      </c>
      <c r="F35" s="8">
        <v>0.28999999999999998</v>
      </c>
      <c r="G35" s="4">
        <v>347</v>
      </c>
      <c r="H35" s="8">
        <v>2.58</v>
      </c>
      <c r="I35" s="4">
        <v>0</v>
      </c>
    </row>
    <row r="36" spans="1:9" x14ac:dyDescent="0.2">
      <c r="A36" s="2">
        <v>12</v>
      </c>
      <c r="B36" s="1" t="s">
        <v>164</v>
      </c>
      <c r="C36" s="4">
        <v>348</v>
      </c>
      <c r="D36" s="8">
        <v>1.67</v>
      </c>
      <c r="E36" s="4">
        <v>171</v>
      </c>
      <c r="F36" s="8">
        <v>2.33</v>
      </c>
      <c r="G36" s="4">
        <v>177</v>
      </c>
      <c r="H36" s="8">
        <v>1.32</v>
      </c>
      <c r="I36" s="4">
        <v>0</v>
      </c>
    </row>
    <row r="37" spans="1:9" x14ac:dyDescent="0.2">
      <c r="A37" s="2">
        <v>13</v>
      </c>
      <c r="B37" s="1" t="s">
        <v>161</v>
      </c>
      <c r="C37" s="4">
        <v>343</v>
      </c>
      <c r="D37" s="8">
        <v>1.64</v>
      </c>
      <c r="E37" s="4">
        <v>31</v>
      </c>
      <c r="F37" s="8">
        <v>0.42</v>
      </c>
      <c r="G37" s="4">
        <v>312</v>
      </c>
      <c r="H37" s="8">
        <v>2.3199999999999998</v>
      </c>
      <c r="I37" s="4">
        <v>0</v>
      </c>
    </row>
    <row r="38" spans="1:9" x14ac:dyDescent="0.2">
      <c r="A38" s="2">
        <v>14</v>
      </c>
      <c r="B38" s="1" t="s">
        <v>171</v>
      </c>
      <c r="C38" s="4">
        <v>341</v>
      </c>
      <c r="D38" s="8">
        <v>1.63</v>
      </c>
      <c r="E38" s="4">
        <v>168</v>
      </c>
      <c r="F38" s="8">
        <v>2.29</v>
      </c>
      <c r="G38" s="4">
        <v>173</v>
      </c>
      <c r="H38" s="8">
        <v>1.29</v>
      </c>
      <c r="I38" s="4">
        <v>0</v>
      </c>
    </row>
    <row r="39" spans="1:9" x14ac:dyDescent="0.2">
      <c r="A39" s="2">
        <v>15</v>
      </c>
      <c r="B39" s="1" t="s">
        <v>160</v>
      </c>
      <c r="C39" s="4">
        <v>308</v>
      </c>
      <c r="D39" s="8">
        <v>1.48</v>
      </c>
      <c r="E39" s="4">
        <v>39</v>
      </c>
      <c r="F39" s="8">
        <v>0.53</v>
      </c>
      <c r="G39" s="4">
        <v>269</v>
      </c>
      <c r="H39" s="8">
        <v>2</v>
      </c>
      <c r="I39" s="4">
        <v>0</v>
      </c>
    </row>
    <row r="40" spans="1:9" x14ac:dyDescent="0.2">
      <c r="A40" s="2">
        <v>16</v>
      </c>
      <c r="B40" s="1" t="s">
        <v>177</v>
      </c>
      <c r="C40" s="4">
        <v>290</v>
      </c>
      <c r="D40" s="8">
        <v>1.39</v>
      </c>
      <c r="E40" s="4">
        <v>33</v>
      </c>
      <c r="F40" s="8">
        <v>0.45</v>
      </c>
      <c r="G40" s="4">
        <v>257</v>
      </c>
      <c r="H40" s="8">
        <v>1.91</v>
      </c>
      <c r="I40" s="4">
        <v>0</v>
      </c>
    </row>
    <row r="41" spans="1:9" x14ac:dyDescent="0.2">
      <c r="A41" s="2">
        <v>17</v>
      </c>
      <c r="B41" s="1" t="s">
        <v>158</v>
      </c>
      <c r="C41" s="4">
        <v>282</v>
      </c>
      <c r="D41" s="8">
        <v>1.35</v>
      </c>
      <c r="E41" s="4">
        <v>24</v>
      </c>
      <c r="F41" s="8">
        <v>0.33</v>
      </c>
      <c r="G41" s="4">
        <v>258</v>
      </c>
      <c r="H41" s="8">
        <v>1.92</v>
      </c>
      <c r="I41" s="4">
        <v>0</v>
      </c>
    </row>
    <row r="42" spans="1:9" x14ac:dyDescent="0.2">
      <c r="A42" s="2">
        <v>18</v>
      </c>
      <c r="B42" s="1" t="s">
        <v>179</v>
      </c>
      <c r="C42" s="4">
        <v>280</v>
      </c>
      <c r="D42" s="8">
        <v>1.34</v>
      </c>
      <c r="E42" s="4">
        <v>140</v>
      </c>
      <c r="F42" s="8">
        <v>1.91</v>
      </c>
      <c r="G42" s="4">
        <v>140</v>
      </c>
      <c r="H42" s="8">
        <v>1.04</v>
      </c>
      <c r="I42" s="4">
        <v>0</v>
      </c>
    </row>
    <row r="43" spans="1:9" x14ac:dyDescent="0.2">
      <c r="A43" s="2">
        <v>19</v>
      </c>
      <c r="B43" s="1" t="s">
        <v>159</v>
      </c>
      <c r="C43" s="4">
        <v>257</v>
      </c>
      <c r="D43" s="8">
        <v>1.23</v>
      </c>
      <c r="E43" s="4">
        <v>62</v>
      </c>
      <c r="F43" s="8">
        <v>0.84</v>
      </c>
      <c r="G43" s="4">
        <v>195</v>
      </c>
      <c r="H43" s="8">
        <v>1.45</v>
      </c>
      <c r="I43" s="4">
        <v>0</v>
      </c>
    </row>
    <row r="44" spans="1:9" x14ac:dyDescent="0.2">
      <c r="A44" s="2">
        <v>20</v>
      </c>
      <c r="B44" s="1" t="s">
        <v>162</v>
      </c>
      <c r="C44" s="4">
        <v>253</v>
      </c>
      <c r="D44" s="8">
        <v>1.21</v>
      </c>
      <c r="E44" s="4">
        <v>117</v>
      </c>
      <c r="F44" s="8">
        <v>1.59</v>
      </c>
      <c r="G44" s="4">
        <v>135</v>
      </c>
      <c r="H44" s="8">
        <v>1</v>
      </c>
      <c r="I44" s="4">
        <v>1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167</v>
      </c>
      <c r="C47" s="4">
        <v>41</v>
      </c>
      <c r="D47" s="8">
        <v>3.53</v>
      </c>
      <c r="E47" s="4">
        <v>18</v>
      </c>
      <c r="F47" s="8">
        <v>5</v>
      </c>
      <c r="G47" s="4">
        <v>23</v>
      </c>
      <c r="H47" s="8">
        <v>2.89</v>
      </c>
      <c r="I47" s="4">
        <v>0</v>
      </c>
    </row>
    <row r="48" spans="1:9" x14ac:dyDescent="0.2">
      <c r="A48" s="2">
        <v>2</v>
      </c>
      <c r="B48" s="1" t="s">
        <v>173</v>
      </c>
      <c r="C48" s="4">
        <v>40</v>
      </c>
      <c r="D48" s="8">
        <v>3.45</v>
      </c>
      <c r="E48" s="4">
        <v>32</v>
      </c>
      <c r="F48" s="8">
        <v>8.89</v>
      </c>
      <c r="G48" s="4">
        <v>8</v>
      </c>
      <c r="H48" s="8">
        <v>1.01</v>
      </c>
      <c r="I48" s="4">
        <v>0</v>
      </c>
    </row>
    <row r="49" spans="1:9" x14ac:dyDescent="0.2">
      <c r="A49" s="2">
        <v>3</v>
      </c>
      <c r="B49" s="1" t="s">
        <v>161</v>
      </c>
      <c r="C49" s="4">
        <v>32</v>
      </c>
      <c r="D49" s="8">
        <v>2.76</v>
      </c>
      <c r="E49" s="4">
        <v>1</v>
      </c>
      <c r="F49" s="8">
        <v>0.28000000000000003</v>
      </c>
      <c r="G49" s="4">
        <v>31</v>
      </c>
      <c r="H49" s="8">
        <v>3.9</v>
      </c>
      <c r="I49" s="4">
        <v>0</v>
      </c>
    </row>
    <row r="50" spans="1:9" x14ac:dyDescent="0.2">
      <c r="A50" s="2">
        <v>4</v>
      </c>
      <c r="B50" s="1" t="s">
        <v>160</v>
      </c>
      <c r="C50" s="4">
        <v>31</v>
      </c>
      <c r="D50" s="8">
        <v>2.67</v>
      </c>
      <c r="E50" s="4">
        <v>3</v>
      </c>
      <c r="F50" s="8">
        <v>0.83</v>
      </c>
      <c r="G50" s="4">
        <v>28</v>
      </c>
      <c r="H50" s="8">
        <v>3.52</v>
      </c>
      <c r="I50" s="4">
        <v>0</v>
      </c>
    </row>
    <row r="51" spans="1:9" x14ac:dyDescent="0.2">
      <c r="A51" s="2">
        <v>5</v>
      </c>
      <c r="B51" s="1" t="s">
        <v>172</v>
      </c>
      <c r="C51" s="4">
        <v>29</v>
      </c>
      <c r="D51" s="8">
        <v>2.5</v>
      </c>
      <c r="E51" s="4">
        <v>28</v>
      </c>
      <c r="F51" s="8">
        <v>7.78</v>
      </c>
      <c r="G51" s="4">
        <v>1</v>
      </c>
      <c r="H51" s="8">
        <v>0.13</v>
      </c>
      <c r="I51" s="4">
        <v>0</v>
      </c>
    </row>
    <row r="52" spans="1:9" x14ac:dyDescent="0.2">
      <c r="A52" s="2">
        <v>6</v>
      </c>
      <c r="B52" s="1" t="s">
        <v>163</v>
      </c>
      <c r="C52" s="4">
        <v>27</v>
      </c>
      <c r="D52" s="8">
        <v>2.33</v>
      </c>
      <c r="E52" s="4">
        <v>7</v>
      </c>
      <c r="F52" s="8">
        <v>1.94</v>
      </c>
      <c r="G52" s="4">
        <v>20</v>
      </c>
      <c r="H52" s="8">
        <v>2.52</v>
      </c>
      <c r="I52" s="4">
        <v>0</v>
      </c>
    </row>
    <row r="53" spans="1:9" x14ac:dyDescent="0.2">
      <c r="A53" s="2">
        <v>7</v>
      </c>
      <c r="B53" s="1" t="s">
        <v>159</v>
      </c>
      <c r="C53" s="4">
        <v>26</v>
      </c>
      <c r="D53" s="8">
        <v>2.2400000000000002</v>
      </c>
      <c r="E53" s="4">
        <v>6</v>
      </c>
      <c r="F53" s="8">
        <v>1.67</v>
      </c>
      <c r="G53" s="4">
        <v>20</v>
      </c>
      <c r="H53" s="8">
        <v>2.52</v>
      </c>
      <c r="I53" s="4">
        <v>0</v>
      </c>
    </row>
    <row r="54" spans="1:9" x14ac:dyDescent="0.2">
      <c r="A54" s="2">
        <v>7</v>
      </c>
      <c r="B54" s="1" t="s">
        <v>177</v>
      </c>
      <c r="C54" s="4">
        <v>26</v>
      </c>
      <c r="D54" s="8">
        <v>2.2400000000000002</v>
      </c>
      <c r="E54" s="4">
        <v>2</v>
      </c>
      <c r="F54" s="8">
        <v>0.56000000000000005</v>
      </c>
      <c r="G54" s="4">
        <v>24</v>
      </c>
      <c r="H54" s="8">
        <v>3.02</v>
      </c>
      <c r="I54" s="4">
        <v>0</v>
      </c>
    </row>
    <row r="55" spans="1:9" x14ac:dyDescent="0.2">
      <c r="A55" s="2">
        <v>9</v>
      </c>
      <c r="B55" s="1" t="s">
        <v>166</v>
      </c>
      <c r="C55" s="4">
        <v>25</v>
      </c>
      <c r="D55" s="8">
        <v>2.16</v>
      </c>
      <c r="E55" s="4">
        <v>2</v>
      </c>
      <c r="F55" s="8">
        <v>0.56000000000000005</v>
      </c>
      <c r="G55" s="4">
        <v>23</v>
      </c>
      <c r="H55" s="8">
        <v>2.89</v>
      </c>
      <c r="I55" s="4">
        <v>0</v>
      </c>
    </row>
    <row r="56" spans="1:9" x14ac:dyDescent="0.2">
      <c r="A56" s="2">
        <v>10</v>
      </c>
      <c r="B56" s="1" t="s">
        <v>174</v>
      </c>
      <c r="C56" s="4">
        <v>24</v>
      </c>
      <c r="D56" s="8">
        <v>2.0699999999999998</v>
      </c>
      <c r="E56" s="4">
        <v>18</v>
      </c>
      <c r="F56" s="8">
        <v>5</v>
      </c>
      <c r="G56" s="4">
        <v>6</v>
      </c>
      <c r="H56" s="8">
        <v>0.75</v>
      </c>
      <c r="I56" s="4">
        <v>0</v>
      </c>
    </row>
    <row r="57" spans="1:9" x14ac:dyDescent="0.2">
      <c r="A57" s="2">
        <v>11</v>
      </c>
      <c r="B57" s="1" t="s">
        <v>181</v>
      </c>
      <c r="C57" s="4">
        <v>23</v>
      </c>
      <c r="D57" s="8">
        <v>1.98</v>
      </c>
      <c r="E57" s="4">
        <v>2</v>
      </c>
      <c r="F57" s="8">
        <v>0.56000000000000005</v>
      </c>
      <c r="G57" s="4">
        <v>21</v>
      </c>
      <c r="H57" s="8">
        <v>2.64</v>
      </c>
      <c r="I57" s="4">
        <v>0</v>
      </c>
    </row>
    <row r="58" spans="1:9" x14ac:dyDescent="0.2">
      <c r="A58" s="2">
        <v>11</v>
      </c>
      <c r="B58" s="1" t="s">
        <v>175</v>
      </c>
      <c r="C58" s="4">
        <v>23</v>
      </c>
      <c r="D58" s="8">
        <v>1.98</v>
      </c>
      <c r="E58" s="4">
        <v>22</v>
      </c>
      <c r="F58" s="8">
        <v>6.11</v>
      </c>
      <c r="G58" s="4">
        <v>1</v>
      </c>
      <c r="H58" s="8">
        <v>0.13</v>
      </c>
      <c r="I58" s="4">
        <v>0</v>
      </c>
    </row>
    <row r="59" spans="1:9" x14ac:dyDescent="0.2">
      <c r="A59" s="2">
        <v>13</v>
      </c>
      <c r="B59" s="1" t="s">
        <v>158</v>
      </c>
      <c r="C59" s="4">
        <v>21</v>
      </c>
      <c r="D59" s="8">
        <v>1.81</v>
      </c>
      <c r="E59" s="4">
        <v>3</v>
      </c>
      <c r="F59" s="8">
        <v>0.83</v>
      </c>
      <c r="G59" s="4">
        <v>18</v>
      </c>
      <c r="H59" s="8">
        <v>2.2599999999999998</v>
      </c>
      <c r="I59" s="4">
        <v>0</v>
      </c>
    </row>
    <row r="60" spans="1:9" x14ac:dyDescent="0.2">
      <c r="A60" s="2">
        <v>14</v>
      </c>
      <c r="B60" s="1" t="s">
        <v>182</v>
      </c>
      <c r="C60" s="4">
        <v>20</v>
      </c>
      <c r="D60" s="8">
        <v>1.72</v>
      </c>
      <c r="E60" s="4">
        <v>4</v>
      </c>
      <c r="F60" s="8">
        <v>1.1100000000000001</v>
      </c>
      <c r="G60" s="4">
        <v>16</v>
      </c>
      <c r="H60" s="8">
        <v>2.0099999999999998</v>
      </c>
      <c r="I60" s="4">
        <v>0</v>
      </c>
    </row>
    <row r="61" spans="1:9" x14ac:dyDescent="0.2">
      <c r="A61" s="2">
        <v>14</v>
      </c>
      <c r="B61" s="1" t="s">
        <v>179</v>
      </c>
      <c r="C61" s="4">
        <v>20</v>
      </c>
      <c r="D61" s="8">
        <v>1.72</v>
      </c>
      <c r="E61" s="4">
        <v>16</v>
      </c>
      <c r="F61" s="8">
        <v>4.4400000000000004</v>
      </c>
      <c r="G61" s="4">
        <v>4</v>
      </c>
      <c r="H61" s="8">
        <v>0.5</v>
      </c>
      <c r="I61" s="4">
        <v>0</v>
      </c>
    </row>
    <row r="62" spans="1:9" x14ac:dyDescent="0.2">
      <c r="A62" s="2">
        <v>14</v>
      </c>
      <c r="B62" s="1" t="s">
        <v>176</v>
      </c>
      <c r="C62" s="4">
        <v>20</v>
      </c>
      <c r="D62" s="8">
        <v>1.72</v>
      </c>
      <c r="E62" s="4">
        <v>9</v>
      </c>
      <c r="F62" s="8">
        <v>2.5</v>
      </c>
      <c r="G62" s="4">
        <v>11</v>
      </c>
      <c r="H62" s="8">
        <v>1.38</v>
      </c>
      <c r="I62" s="4">
        <v>0</v>
      </c>
    </row>
    <row r="63" spans="1:9" x14ac:dyDescent="0.2">
      <c r="A63" s="2">
        <v>17</v>
      </c>
      <c r="B63" s="1" t="s">
        <v>180</v>
      </c>
      <c r="C63" s="4">
        <v>19</v>
      </c>
      <c r="D63" s="8">
        <v>1.64</v>
      </c>
      <c r="E63" s="4">
        <v>1</v>
      </c>
      <c r="F63" s="8">
        <v>0.28000000000000003</v>
      </c>
      <c r="G63" s="4">
        <v>18</v>
      </c>
      <c r="H63" s="8">
        <v>2.2599999999999998</v>
      </c>
      <c r="I63" s="4">
        <v>0</v>
      </c>
    </row>
    <row r="64" spans="1:9" x14ac:dyDescent="0.2">
      <c r="A64" s="2">
        <v>18</v>
      </c>
      <c r="B64" s="1" t="s">
        <v>165</v>
      </c>
      <c r="C64" s="4">
        <v>18</v>
      </c>
      <c r="D64" s="8">
        <v>1.55</v>
      </c>
      <c r="E64" s="4">
        <v>0</v>
      </c>
      <c r="F64" s="8">
        <v>0</v>
      </c>
      <c r="G64" s="4">
        <v>18</v>
      </c>
      <c r="H64" s="8">
        <v>2.2599999999999998</v>
      </c>
      <c r="I64" s="4">
        <v>0</v>
      </c>
    </row>
    <row r="65" spans="1:9" x14ac:dyDescent="0.2">
      <c r="A65" s="2">
        <v>19</v>
      </c>
      <c r="B65" s="1" t="s">
        <v>164</v>
      </c>
      <c r="C65" s="4">
        <v>17</v>
      </c>
      <c r="D65" s="8">
        <v>1.47</v>
      </c>
      <c r="E65" s="4">
        <v>9</v>
      </c>
      <c r="F65" s="8">
        <v>2.5</v>
      </c>
      <c r="G65" s="4">
        <v>8</v>
      </c>
      <c r="H65" s="8">
        <v>1.01</v>
      </c>
      <c r="I65" s="4">
        <v>0</v>
      </c>
    </row>
    <row r="66" spans="1:9" x14ac:dyDescent="0.2">
      <c r="A66" s="2">
        <v>20</v>
      </c>
      <c r="B66" s="1" t="s">
        <v>157</v>
      </c>
      <c r="C66" s="4">
        <v>16</v>
      </c>
      <c r="D66" s="8">
        <v>1.38</v>
      </c>
      <c r="E66" s="4">
        <v>1</v>
      </c>
      <c r="F66" s="8">
        <v>0.28000000000000003</v>
      </c>
      <c r="G66" s="4">
        <v>15</v>
      </c>
      <c r="H66" s="8">
        <v>1.89</v>
      </c>
      <c r="I66" s="4">
        <v>0</v>
      </c>
    </row>
    <row r="67" spans="1:9" x14ac:dyDescent="0.2">
      <c r="A67" s="2">
        <v>20</v>
      </c>
      <c r="B67" s="1" t="s">
        <v>168</v>
      </c>
      <c r="C67" s="4">
        <v>16</v>
      </c>
      <c r="D67" s="8">
        <v>1.38</v>
      </c>
      <c r="E67" s="4">
        <v>0</v>
      </c>
      <c r="F67" s="8">
        <v>0</v>
      </c>
      <c r="G67" s="4">
        <v>16</v>
      </c>
      <c r="H67" s="8">
        <v>2.0099999999999998</v>
      </c>
      <c r="I67" s="4">
        <v>0</v>
      </c>
    </row>
    <row r="68" spans="1:9" x14ac:dyDescent="0.2">
      <c r="A68" s="1"/>
      <c r="C68" s="4"/>
      <c r="D68" s="8"/>
      <c r="E68" s="4"/>
      <c r="F68" s="8"/>
      <c r="G68" s="4"/>
      <c r="H68" s="8"/>
      <c r="I68" s="4"/>
    </row>
    <row r="69" spans="1:9" x14ac:dyDescent="0.2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2">
      <c r="A70" s="2">
        <v>1</v>
      </c>
      <c r="B70" s="1" t="s">
        <v>167</v>
      </c>
      <c r="C70" s="4">
        <v>123</v>
      </c>
      <c r="D70" s="8">
        <v>5.49</v>
      </c>
      <c r="E70" s="4">
        <v>49</v>
      </c>
      <c r="F70" s="8">
        <v>6</v>
      </c>
      <c r="G70" s="4">
        <v>74</v>
      </c>
      <c r="H70" s="8">
        <v>5.22</v>
      </c>
      <c r="I70" s="4">
        <v>0</v>
      </c>
    </row>
    <row r="71" spans="1:9" x14ac:dyDescent="0.2">
      <c r="A71" s="2">
        <v>2</v>
      </c>
      <c r="B71" s="1" t="s">
        <v>173</v>
      </c>
      <c r="C71" s="4">
        <v>105</v>
      </c>
      <c r="D71" s="8">
        <v>4.6900000000000004</v>
      </c>
      <c r="E71" s="4">
        <v>82</v>
      </c>
      <c r="F71" s="8">
        <v>10.039999999999999</v>
      </c>
      <c r="G71" s="4">
        <v>23</v>
      </c>
      <c r="H71" s="8">
        <v>1.62</v>
      </c>
      <c r="I71" s="4">
        <v>0</v>
      </c>
    </row>
    <row r="72" spans="1:9" x14ac:dyDescent="0.2">
      <c r="A72" s="2">
        <v>3</v>
      </c>
      <c r="B72" s="1" t="s">
        <v>175</v>
      </c>
      <c r="C72" s="4">
        <v>75</v>
      </c>
      <c r="D72" s="8">
        <v>3.35</v>
      </c>
      <c r="E72" s="4">
        <v>67</v>
      </c>
      <c r="F72" s="8">
        <v>8.1999999999999993</v>
      </c>
      <c r="G72" s="4">
        <v>8</v>
      </c>
      <c r="H72" s="8">
        <v>0.56000000000000005</v>
      </c>
      <c r="I72" s="4">
        <v>0</v>
      </c>
    </row>
    <row r="73" spans="1:9" x14ac:dyDescent="0.2">
      <c r="A73" s="2">
        <v>4</v>
      </c>
      <c r="B73" s="1" t="s">
        <v>172</v>
      </c>
      <c r="C73" s="4">
        <v>71</v>
      </c>
      <c r="D73" s="8">
        <v>3.17</v>
      </c>
      <c r="E73" s="4">
        <v>65</v>
      </c>
      <c r="F73" s="8">
        <v>7.96</v>
      </c>
      <c r="G73" s="4">
        <v>6</v>
      </c>
      <c r="H73" s="8">
        <v>0.42</v>
      </c>
      <c r="I73" s="4">
        <v>0</v>
      </c>
    </row>
    <row r="74" spans="1:9" x14ac:dyDescent="0.2">
      <c r="A74" s="2">
        <v>5</v>
      </c>
      <c r="B74" s="1" t="s">
        <v>174</v>
      </c>
      <c r="C74" s="4">
        <v>67</v>
      </c>
      <c r="D74" s="8">
        <v>2.99</v>
      </c>
      <c r="E74" s="4">
        <v>51</v>
      </c>
      <c r="F74" s="8">
        <v>6.24</v>
      </c>
      <c r="G74" s="4">
        <v>16</v>
      </c>
      <c r="H74" s="8">
        <v>1.1299999999999999</v>
      </c>
      <c r="I74" s="4">
        <v>0</v>
      </c>
    </row>
    <row r="75" spans="1:9" x14ac:dyDescent="0.2">
      <c r="A75" s="2">
        <v>6</v>
      </c>
      <c r="B75" s="1" t="s">
        <v>166</v>
      </c>
      <c r="C75" s="4">
        <v>61</v>
      </c>
      <c r="D75" s="8">
        <v>2.72</v>
      </c>
      <c r="E75" s="4">
        <v>10</v>
      </c>
      <c r="F75" s="8">
        <v>1.22</v>
      </c>
      <c r="G75" s="4">
        <v>51</v>
      </c>
      <c r="H75" s="8">
        <v>3.6</v>
      </c>
      <c r="I75" s="4">
        <v>0</v>
      </c>
    </row>
    <row r="76" spans="1:9" x14ac:dyDescent="0.2">
      <c r="A76" s="2">
        <v>7</v>
      </c>
      <c r="B76" s="1" t="s">
        <v>168</v>
      </c>
      <c r="C76" s="4">
        <v>56</v>
      </c>
      <c r="D76" s="8">
        <v>2.5</v>
      </c>
      <c r="E76" s="4">
        <v>5</v>
      </c>
      <c r="F76" s="8">
        <v>0.61</v>
      </c>
      <c r="G76" s="4">
        <v>50</v>
      </c>
      <c r="H76" s="8">
        <v>3.53</v>
      </c>
      <c r="I76" s="4">
        <v>0</v>
      </c>
    </row>
    <row r="77" spans="1:9" x14ac:dyDescent="0.2">
      <c r="A77" s="2">
        <v>8</v>
      </c>
      <c r="B77" s="1" t="s">
        <v>170</v>
      </c>
      <c r="C77" s="4">
        <v>52</v>
      </c>
      <c r="D77" s="8">
        <v>2.3199999999999998</v>
      </c>
      <c r="E77" s="4">
        <v>46</v>
      </c>
      <c r="F77" s="8">
        <v>5.63</v>
      </c>
      <c r="G77" s="4">
        <v>6</v>
      </c>
      <c r="H77" s="8">
        <v>0.42</v>
      </c>
      <c r="I77" s="4">
        <v>0</v>
      </c>
    </row>
    <row r="78" spans="1:9" x14ac:dyDescent="0.2">
      <c r="A78" s="2">
        <v>9</v>
      </c>
      <c r="B78" s="1" t="s">
        <v>169</v>
      </c>
      <c r="C78" s="4">
        <v>48</v>
      </c>
      <c r="D78" s="8">
        <v>2.14</v>
      </c>
      <c r="E78" s="4">
        <v>38</v>
      </c>
      <c r="F78" s="8">
        <v>4.6500000000000004</v>
      </c>
      <c r="G78" s="4">
        <v>10</v>
      </c>
      <c r="H78" s="8">
        <v>0.71</v>
      </c>
      <c r="I78" s="4">
        <v>0</v>
      </c>
    </row>
    <row r="79" spans="1:9" x14ac:dyDescent="0.2">
      <c r="A79" s="2">
        <v>10</v>
      </c>
      <c r="B79" s="1" t="s">
        <v>165</v>
      </c>
      <c r="C79" s="4">
        <v>42</v>
      </c>
      <c r="D79" s="8">
        <v>1.87</v>
      </c>
      <c r="E79" s="4">
        <v>2</v>
      </c>
      <c r="F79" s="8">
        <v>0.24</v>
      </c>
      <c r="G79" s="4">
        <v>40</v>
      </c>
      <c r="H79" s="8">
        <v>2.82</v>
      </c>
      <c r="I79" s="4">
        <v>0</v>
      </c>
    </row>
    <row r="80" spans="1:9" x14ac:dyDescent="0.2">
      <c r="A80" s="2">
        <v>11</v>
      </c>
      <c r="B80" s="1" t="s">
        <v>164</v>
      </c>
      <c r="C80" s="4">
        <v>41</v>
      </c>
      <c r="D80" s="8">
        <v>1.83</v>
      </c>
      <c r="E80" s="4">
        <v>23</v>
      </c>
      <c r="F80" s="8">
        <v>2.82</v>
      </c>
      <c r="G80" s="4">
        <v>18</v>
      </c>
      <c r="H80" s="8">
        <v>1.27</v>
      </c>
      <c r="I80" s="4">
        <v>0</v>
      </c>
    </row>
    <row r="81" spans="1:9" x14ac:dyDescent="0.2">
      <c r="A81" s="2">
        <v>12</v>
      </c>
      <c r="B81" s="1" t="s">
        <v>183</v>
      </c>
      <c r="C81" s="4">
        <v>40</v>
      </c>
      <c r="D81" s="8">
        <v>1.78</v>
      </c>
      <c r="E81" s="4">
        <v>3</v>
      </c>
      <c r="F81" s="8">
        <v>0.37</v>
      </c>
      <c r="G81" s="4">
        <v>37</v>
      </c>
      <c r="H81" s="8">
        <v>2.61</v>
      </c>
      <c r="I81" s="4">
        <v>0</v>
      </c>
    </row>
    <row r="82" spans="1:9" x14ac:dyDescent="0.2">
      <c r="A82" s="2">
        <v>12</v>
      </c>
      <c r="B82" s="1" t="s">
        <v>178</v>
      </c>
      <c r="C82" s="4">
        <v>40</v>
      </c>
      <c r="D82" s="8">
        <v>1.78</v>
      </c>
      <c r="E82" s="4">
        <v>8</v>
      </c>
      <c r="F82" s="8">
        <v>0.98</v>
      </c>
      <c r="G82" s="4">
        <v>31</v>
      </c>
      <c r="H82" s="8">
        <v>2.19</v>
      </c>
      <c r="I82" s="4">
        <v>0</v>
      </c>
    </row>
    <row r="83" spans="1:9" x14ac:dyDescent="0.2">
      <c r="A83" s="2">
        <v>14</v>
      </c>
      <c r="B83" s="1" t="s">
        <v>161</v>
      </c>
      <c r="C83" s="4">
        <v>36</v>
      </c>
      <c r="D83" s="8">
        <v>1.61</v>
      </c>
      <c r="E83" s="4">
        <v>2</v>
      </c>
      <c r="F83" s="8">
        <v>0.24</v>
      </c>
      <c r="G83" s="4">
        <v>34</v>
      </c>
      <c r="H83" s="8">
        <v>2.4</v>
      </c>
      <c r="I83" s="4">
        <v>0</v>
      </c>
    </row>
    <row r="84" spans="1:9" x14ac:dyDescent="0.2">
      <c r="A84" s="2">
        <v>14</v>
      </c>
      <c r="B84" s="1" t="s">
        <v>171</v>
      </c>
      <c r="C84" s="4">
        <v>36</v>
      </c>
      <c r="D84" s="8">
        <v>1.61</v>
      </c>
      <c r="E84" s="4">
        <v>16</v>
      </c>
      <c r="F84" s="8">
        <v>1.96</v>
      </c>
      <c r="G84" s="4">
        <v>20</v>
      </c>
      <c r="H84" s="8">
        <v>1.41</v>
      </c>
      <c r="I84" s="4">
        <v>0</v>
      </c>
    </row>
    <row r="85" spans="1:9" x14ac:dyDescent="0.2">
      <c r="A85" s="2">
        <v>16</v>
      </c>
      <c r="B85" s="1" t="s">
        <v>159</v>
      </c>
      <c r="C85" s="4">
        <v>35</v>
      </c>
      <c r="D85" s="8">
        <v>1.56</v>
      </c>
      <c r="E85" s="4">
        <v>7</v>
      </c>
      <c r="F85" s="8">
        <v>0.86</v>
      </c>
      <c r="G85" s="4">
        <v>28</v>
      </c>
      <c r="H85" s="8">
        <v>1.98</v>
      </c>
      <c r="I85" s="4">
        <v>0</v>
      </c>
    </row>
    <row r="86" spans="1:9" x14ac:dyDescent="0.2">
      <c r="A86" s="2">
        <v>16</v>
      </c>
      <c r="B86" s="1" t="s">
        <v>177</v>
      </c>
      <c r="C86" s="4">
        <v>35</v>
      </c>
      <c r="D86" s="8">
        <v>1.56</v>
      </c>
      <c r="E86" s="4">
        <v>3</v>
      </c>
      <c r="F86" s="8">
        <v>0.37</v>
      </c>
      <c r="G86" s="4">
        <v>32</v>
      </c>
      <c r="H86" s="8">
        <v>2.2599999999999998</v>
      </c>
      <c r="I86" s="4">
        <v>0</v>
      </c>
    </row>
    <row r="87" spans="1:9" x14ac:dyDescent="0.2">
      <c r="A87" s="2">
        <v>18</v>
      </c>
      <c r="B87" s="1" t="s">
        <v>158</v>
      </c>
      <c r="C87" s="4">
        <v>34</v>
      </c>
      <c r="D87" s="8">
        <v>1.52</v>
      </c>
      <c r="E87" s="4">
        <v>2</v>
      </c>
      <c r="F87" s="8">
        <v>0.24</v>
      </c>
      <c r="G87" s="4">
        <v>32</v>
      </c>
      <c r="H87" s="8">
        <v>2.2599999999999998</v>
      </c>
      <c r="I87" s="4">
        <v>0</v>
      </c>
    </row>
    <row r="88" spans="1:9" x14ac:dyDescent="0.2">
      <c r="A88" s="2">
        <v>19</v>
      </c>
      <c r="B88" s="1" t="s">
        <v>179</v>
      </c>
      <c r="C88" s="4">
        <v>32</v>
      </c>
      <c r="D88" s="8">
        <v>1.43</v>
      </c>
      <c r="E88" s="4">
        <v>13</v>
      </c>
      <c r="F88" s="8">
        <v>1.59</v>
      </c>
      <c r="G88" s="4">
        <v>19</v>
      </c>
      <c r="H88" s="8">
        <v>1.34</v>
      </c>
      <c r="I88" s="4">
        <v>0</v>
      </c>
    </row>
    <row r="89" spans="1:9" x14ac:dyDescent="0.2">
      <c r="A89" s="2">
        <v>20</v>
      </c>
      <c r="B89" s="1" t="s">
        <v>184</v>
      </c>
      <c r="C89" s="4">
        <v>30</v>
      </c>
      <c r="D89" s="8">
        <v>1.34</v>
      </c>
      <c r="E89" s="4">
        <v>1</v>
      </c>
      <c r="F89" s="8">
        <v>0.12</v>
      </c>
      <c r="G89" s="4">
        <v>29</v>
      </c>
      <c r="H89" s="8">
        <v>2.0499999999999998</v>
      </c>
      <c r="I89" s="4">
        <v>0</v>
      </c>
    </row>
    <row r="90" spans="1:9" x14ac:dyDescent="0.2">
      <c r="A90" s="2">
        <v>20</v>
      </c>
      <c r="B90" s="1" t="s">
        <v>185</v>
      </c>
      <c r="C90" s="4">
        <v>30</v>
      </c>
      <c r="D90" s="8">
        <v>1.34</v>
      </c>
      <c r="E90" s="4">
        <v>8</v>
      </c>
      <c r="F90" s="8">
        <v>0.98</v>
      </c>
      <c r="G90" s="4">
        <v>22</v>
      </c>
      <c r="H90" s="8">
        <v>1.55</v>
      </c>
      <c r="I90" s="4">
        <v>0</v>
      </c>
    </row>
    <row r="91" spans="1:9" x14ac:dyDescent="0.2">
      <c r="A91" s="1"/>
      <c r="C91" s="4"/>
      <c r="D91" s="8"/>
      <c r="E91" s="4"/>
      <c r="F91" s="8"/>
      <c r="G91" s="4"/>
      <c r="H91" s="8"/>
      <c r="I91" s="4"/>
    </row>
    <row r="92" spans="1:9" x14ac:dyDescent="0.2">
      <c r="A92" s="1" t="s">
        <v>4</v>
      </c>
      <c r="C92" s="4"/>
      <c r="D92" s="8"/>
      <c r="E92" s="4"/>
      <c r="F92" s="8"/>
      <c r="G92" s="4"/>
      <c r="H92" s="8"/>
      <c r="I92" s="4"/>
    </row>
    <row r="93" spans="1:9" x14ac:dyDescent="0.2">
      <c r="A93" s="2">
        <v>1</v>
      </c>
      <c r="B93" s="1" t="s">
        <v>167</v>
      </c>
      <c r="C93" s="4">
        <v>162</v>
      </c>
      <c r="D93" s="8">
        <v>5.4</v>
      </c>
      <c r="E93" s="4">
        <v>69</v>
      </c>
      <c r="F93" s="8">
        <v>7.36</v>
      </c>
      <c r="G93" s="4">
        <v>93</v>
      </c>
      <c r="H93" s="8">
        <v>4.53</v>
      </c>
      <c r="I93" s="4">
        <v>0</v>
      </c>
    </row>
    <row r="94" spans="1:9" x14ac:dyDescent="0.2">
      <c r="A94" s="2">
        <v>2</v>
      </c>
      <c r="B94" s="1" t="s">
        <v>173</v>
      </c>
      <c r="C94" s="4">
        <v>123</v>
      </c>
      <c r="D94" s="8">
        <v>4.0999999999999996</v>
      </c>
      <c r="E94" s="4">
        <v>95</v>
      </c>
      <c r="F94" s="8">
        <v>10.130000000000001</v>
      </c>
      <c r="G94" s="4">
        <v>28</v>
      </c>
      <c r="H94" s="8">
        <v>1.36</v>
      </c>
      <c r="I94" s="4">
        <v>0</v>
      </c>
    </row>
    <row r="95" spans="1:9" x14ac:dyDescent="0.2">
      <c r="A95" s="2">
        <v>3</v>
      </c>
      <c r="B95" s="1" t="s">
        <v>166</v>
      </c>
      <c r="C95" s="4">
        <v>93</v>
      </c>
      <c r="D95" s="8">
        <v>3.1</v>
      </c>
      <c r="E95" s="4">
        <v>15</v>
      </c>
      <c r="F95" s="8">
        <v>1.6</v>
      </c>
      <c r="G95" s="4">
        <v>78</v>
      </c>
      <c r="H95" s="8">
        <v>3.8</v>
      </c>
      <c r="I95" s="4">
        <v>0</v>
      </c>
    </row>
    <row r="96" spans="1:9" x14ac:dyDescent="0.2">
      <c r="A96" s="2">
        <v>3</v>
      </c>
      <c r="B96" s="1" t="s">
        <v>175</v>
      </c>
      <c r="C96" s="4">
        <v>93</v>
      </c>
      <c r="D96" s="8">
        <v>3.1</v>
      </c>
      <c r="E96" s="4">
        <v>81</v>
      </c>
      <c r="F96" s="8">
        <v>8.64</v>
      </c>
      <c r="G96" s="4">
        <v>12</v>
      </c>
      <c r="H96" s="8">
        <v>0.57999999999999996</v>
      </c>
      <c r="I96" s="4">
        <v>0</v>
      </c>
    </row>
    <row r="97" spans="1:9" x14ac:dyDescent="0.2">
      <c r="A97" s="2">
        <v>5</v>
      </c>
      <c r="B97" s="1" t="s">
        <v>174</v>
      </c>
      <c r="C97" s="4">
        <v>91</v>
      </c>
      <c r="D97" s="8">
        <v>3.03</v>
      </c>
      <c r="E97" s="4">
        <v>54</v>
      </c>
      <c r="F97" s="8">
        <v>5.76</v>
      </c>
      <c r="G97" s="4">
        <v>37</v>
      </c>
      <c r="H97" s="8">
        <v>1.8</v>
      </c>
      <c r="I97" s="4">
        <v>0</v>
      </c>
    </row>
    <row r="98" spans="1:9" x14ac:dyDescent="0.2">
      <c r="A98" s="2">
        <v>6</v>
      </c>
      <c r="B98" s="1" t="s">
        <v>169</v>
      </c>
      <c r="C98" s="4">
        <v>87</v>
      </c>
      <c r="D98" s="8">
        <v>2.9</v>
      </c>
      <c r="E98" s="4">
        <v>53</v>
      </c>
      <c r="F98" s="8">
        <v>5.65</v>
      </c>
      <c r="G98" s="4">
        <v>34</v>
      </c>
      <c r="H98" s="8">
        <v>1.66</v>
      </c>
      <c r="I98" s="4">
        <v>0</v>
      </c>
    </row>
    <row r="99" spans="1:9" x14ac:dyDescent="0.2">
      <c r="A99" s="2">
        <v>7</v>
      </c>
      <c r="B99" s="1" t="s">
        <v>178</v>
      </c>
      <c r="C99" s="4">
        <v>76</v>
      </c>
      <c r="D99" s="8">
        <v>2.5299999999999998</v>
      </c>
      <c r="E99" s="4">
        <v>8</v>
      </c>
      <c r="F99" s="8">
        <v>0.85</v>
      </c>
      <c r="G99" s="4">
        <v>66</v>
      </c>
      <c r="H99" s="8">
        <v>3.22</v>
      </c>
      <c r="I99" s="4">
        <v>1</v>
      </c>
    </row>
    <row r="100" spans="1:9" x14ac:dyDescent="0.2">
      <c r="A100" s="2">
        <v>8</v>
      </c>
      <c r="B100" s="1" t="s">
        <v>170</v>
      </c>
      <c r="C100" s="4">
        <v>75</v>
      </c>
      <c r="D100" s="8">
        <v>2.5</v>
      </c>
      <c r="E100" s="4">
        <v>52</v>
      </c>
      <c r="F100" s="8">
        <v>5.54</v>
      </c>
      <c r="G100" s="4">
        <v>23</v>
      </c>
      <c r="H100" s="8">
        <v>1.1200000000000001</v>
      </c>
      <c r="I100" s="4">
        <v>0</v>
      </c>
    </row>
    <row r="101" spans="1:9" x14ac:dyDescent="0.2">
      <c r="A101" s="2">
        <v>9</v>
      </c>
      <c r="B101" s="1" t="s">
        <v>168</v>
      </c>
      <c r="C101" s="4">
        <v>71</v>
      </c>
      <c r="D101" s="8">
        <v>2.37</v>
      </c>
      <c r="E101" s="4">
        <v>4</v>
      </c>
      <c r="F101" s="8">
        <v>0.43</v>
      </c>
      <c r="G101" s="4">
        <v>67</v>
      </c>
      <c r="H101" s="8">
        <v>3.27</v>
      </c>
      <c r="I101" s="4">
        <v>0</v>
      </c>
    </row>
    <row r="102" spans="1:9" x14ac:dyDescent="0.2">
      <c r="A102" s="2">
        <v>10</v>
      </c>
      <c r="B102" s="1" t="s">
        <v>164</v>
      </c>
      <c r="C102" s="4">
        <v>68</v>
      </c>
      <c r="D102" s="8">
        <v>2.27</v>
      </c>
      <c r="E102" s="4">
        <v>32</v>
      </c>
      <c r="F102" s="8">
        <v>3.41</v>
      </c>
      <c r="G102" s="4">
        <v>36</v>
      </c>
      <c r="H102" s="8">
        <v>1.75</v>
      </c>
      <c r="I102" s="4">
        <v>0</v>
      </c>
    </row>
    <row r="103" spans="1:9" x14ac:dyDescent="0.2">
      <c r="A103" s="2">
        <v>11</v>
      </c>
      <c r="B103" s="1" t="s">
        <v>191</v>
      </c>
      <c r="C103" s="4">
        <v>61</v>
      </c>
      <c r="D103" s="8">
        <v>2.0299999999999998</v>
      </c>
      <c r="E103" s="4">
        <v>50</v>
      </c>
      <c r="F103" s="8">
        <v>5.33</v>
      </c>
      <c r="G103" s="4">
        <v>11</v>
      </c>
      <c r="H103" s="8">
        <v>0.54</v>
      </c>
      <c r="I103" s="4">
        <v>0</v>
      </c>
    </row>
    <row r="104" spans="1:9" x14ac:dyDescent="0.2">
      <c r="A104" s="2">
        <v>12</v>
      </c>
      <c r="B104" s="1" t="s">
        <v>165</v>
      </c>
      <c r="C104" s="4">
        <v>58</v>
      </c>
      <c r="D104" s="8">
        <v>1.93</v>
      </c>
      <c r="E104" s="4">
        <v>2</v>
      </c>
      <c r="F104" s="8">
        <v>0.21</v>
      </c>
      <c r="G104" s="4">
        <v>56</v>
      </c>
      <c r="H104" s="8">
        <v>2.73</v>
      </c>
      <c r="I104" s="4">
        <v>0</v>
      </c>
    </row>
    <row r="105" spans="1:9" x14ac:dyDescent="0.2">
      <c r="A105" s="2">
        <v>13</v>
      </c>
      <c r="B105" s="1" t="s">
        <v>188</v>
      </c>
      <c r="C105" s="4">
        <v>56</v>
      </c>
      <c r="D105" s="8">
        <v>1.87</v>
      </c>
      <c r="E105" s="4">
        <v>11</v>
      </c>
      <c r="F105" s="8">
        <v>1.17</v>
      </c>
      <c r="G105" s="4">
        <v>45</v>
      </c>
      <c r="H105" s="8">
        <v>2.19</v>
      </c>
      <c r="I105" s="4">
        <v>0</v>
      </c>
    </row>
    <row r="106" spans="1:9" x14ac:dyDescent="0.2">
      <c r="A106" s="2">
        <v>14</v>
      </c>
      <c r="B106" s="1" t="s">
        <v>172</v>
      </c>
      <c r="C106" s="4">
        <v>55</v>
      </c>
      <c r="D106" s="8">
        <v>1.83</v>
      </c>
      <c r="E106" s="4">
        <v>46</v>
      </c>
      <c r="F106" s="8">
        <v>4.9000000000000004</v>
      </c>
      <c r="G106" s="4">
        <v>9</v>
      </c>
      <c r="H106" s="8">
        <v>0.44</v>
      </c>
      <c r="I106" s="4">
        <v>0</v>
      </c>
    </row>
    <row r="107" spans="1:9" x14ac:dyDescent="0.2">
      <c r="A107" s="2">
        <v>15</v>
      </c>
      <c r="B107" s="1" t="s">
        <v>162</v>
      </c>
      <c r="C107" s="4">
        <v>54</v>
      </c>
      <c r="D107" s="8">
        <v>1.8</v>
      </c>
      <c r="E107" s="4">
        <v>10</v>
      </c>
      <c r="F107" s="8">
        <v>1.07</v>
      </c>
      <c r="G107" s="4">
        <v>44</v>
      </c>
      <c r="H107" s="8">
        <v>2.14</v>
      </c>
      <c r="I107" s="4">
        <v>0</v>
      </c>
    </row>
    <row r="108" spans="1:9" x14ac:dyDescent="0.2">
      <c r="A108" s="2">
        <v>16</v>
      </c>
      <c r="B108" s="1" t="s">
        <v>186</v>
      </c>
      <c r="C108" s="4">
        <v>50</v>
      </c>
      <c r="D108" s="8">
        <v>1.67</v>
      </c>
      <c r="E108" s="4">
        <v>3</v>
      </c>
      <c r="F108" s="8">
        <v>0.32</v>
      </c>
      <c r="G108" s="4">
        <v>47</v>
      </c>
      <c r="H108" s="8">
        <v>2.29</v>
      </c>
      <c r="I108" s="4">
        <v>0</v>
      </c>
    </row>
    <row r="109" spans="1:9" x14ac:dyDescent="0.2">
      <c r="A109" s="2">
        <v>17</v>
      </c>
      <c r="B109" s="1" t="s">
        <v>185</v>
      </c>
      <c r="C109" s="4">
        <v>49</v>
      </c>
      <c r="D109" s="8">
        <v>1.63</v>
      </c>
      <c r="E109" s="4">
        <v>11</v>
      </c>
      <c r="F109" s="8">
        <v>1.17</v>
      </c>
      <c r="G109" s="4">
        <v>38</v>
      </c>
      <c r="H109" s="8">
        <v>1.85</v>
      </c>
      <c r="I109" s="4">
        <v>0</v>
      </c>
    </row>
    <row r="110" spans="1:9" x14ac:dyDescent="0.2">
      <c r="A110" s="2">
        <v>18</v>
      </c>
      <c r="B110" s="1" t="s">
        <v>187</v>
      </c>
      <c r="C110" s="4">
        <v>43</v>
      </c>
      <c r="D110" s="8">
        <v>1.43</v>
      </c>
      <c r="E110" s="4">
        <v>4</v>
      </c>
      <c r="F110" s="8">
        <v>0.43</v>
      </c>
      <c r="G110" s="4">
        <v>39</v>
      </c>
      <c r="H110" s="8">
        <v>1.9</v>
      </c>
      <c r="I110" s="4">
        <v>0</v>
      </c>
    </row>
    <row r="111" spans="1:9" x14ac:dyDescent="0.2">
      <c r="A111" s="2">
        <v>19</v>
      </c>
      <c r="B111" s="1" t="s">
        <v>189</v>
      </c>
      <c r="C111" s="4">
        <v>39</v>
      </c>
      <c r="D111" s="8">
        <v>1.3</v>
      </c>
      <c r="E111" s="4">
        <v>25</v>
      </c>
      <c r="F111" s="8">
        <v>2.67</v>
      </c>
      <c r="G111" s="4">
        <v>14</v>
      </c>
      <c r="H111" s="8">
        <v>0.68</v>
      </c>
      <c r="I111" s="4">
        <v>0</v>
      </c>
    </row>
    <row r="112" spans="1:9" x14ac:dyDescent="0.2">
      <c r="A112" s="2">
        <v>20</v>
      </c>
      <c r="B112" s="1" t="s">
        <v>190</v>
      </c>
      <c r="C112" s="4">
        <v>38</v>
      </c>
      <c r="D112" s="8">
        <v>1.27</v>
      </c>
      <c r="E112" s="4">
        <v>29</v>
      </c>
      <c r="F112" s="8">
        <v>3.09</v>
      </c>
      <c r="G112" s="4">
        <v>9</v>
      </c>
      <c r="H112" s="8">
        <v>0.44</v>
      </c>
      <c r="I112" s="4">
        <v>0</v>
      </c>
    </row>
    <row r="113" spans="1:9" x14ac:dyDescent="0.2">
      <c r="A113" s="2">
        <v>20</v>
      </c>
      <c r="B113" s="1" t="s">
        <v>192</v>
      </c>
      <c r="C113" s="4">
        <v>38</v>
      </c>
      <c r="D113" s="8">
        <v>1.27</v>
      </c>
      <c r="E113" s="4">
        <v>25</v>
      </c>
      <c r="F113" s="8">
        <v>2.67</v>
      </c>
      <c r="G113" s="4">
        <v>13</v>
      </c>
      <c r="H113" s="8">
        <v>0.63</v>
      </c>
      <c r="I113" s="4">
        <v>0</v>
      </c>
    </row>
    <row r="114" spans="1:9" x14ac:dyDescent="0.2">
      <c r="A114" s="1"/>
      <c r="C114" s="4"/>
      <c r="D114" s="8"/>
      <c r="E114" s="4"/>
      <c r="F114" s="8"/>
      <c r="G114" s="4"/>
      <c r="H114" s="8"/>
      <c r="I114" s="4"/>
    </row>
    <row r="115" spans="1:9" x14ac:dyDescent="0.2">
      <c r="A115" s="1" t="s">
        <v>5</v>
      </c>
      <c r="C115" s="4"/>
      <c r="D115" s="8"/>
      <c r="E115" s="4"/>
      <c r="F115" s="8"/>
      <c r="G115" s="4"/>
      <c r="H115" s="8"/>
      <c r="I115" s="4"/>
    </row>
    <row r="116" spans="1:9" x14ac:dyDescent="0.2">
      <c r="A116" s="2">
        <v>1</v>
      </c>
      <c r="B116" s="1" t="s">
        <v>167</v>
      </c>
      <c r="C116" s="4">
        <v>95</v>
      </c>
      <c r="D116" s="8">
        <v>4.2</v>
      </c>
      <c r="E116" s="4">
        <v>33</v>
      </c>
      <c r="F116" s="8">
        <v>3.75</v>
      </c>
      <c r="G116" s="4">
        <v>62</v>
      </c>
      <c r="H116" s="8">
        <v>4.51</v>
      </c>
      <c r="I116" s="4">
        <v>0</v>
      </c>
    </row>
    <row r="117" spans="1:9" x14ac:dyDescent="0.2">
      <c r="A117" s="2">
        <v>2</v>
      </c>
      <c r="B117" s="1" t="s">
        <v>173</v>
      </c>
      <c r="C117" s="4">
        <v>91</v>
      </c>
      <c r="D117" s="8">
        <v>4.0199999999999996</v>
      </c>
      <c r="E117" s="4">
        <v>77</v>
      </c>
      <c r="F117" s="8">
        <v>8.74</v>
      </c>
      <c r="G117" s="4">
        <v>14</v>
      </c>
      <c r="H117" s="8">
        <v>1.02</v>
      </c>
      <c r="I117" s="4">
        <v>0</v>
      </c>
    </row>
    <row r="118" spans="1:9" x14ac:dyDescent="0.2">
      <c r="A118" s="2">
        <v>3</v>
      </c>
      <c r="B118" s="1" t="s">
        <v>172</v>
      </c>
      <c r="C118" s="4">
        <v>71</v>
      </c>
      <c r="D118" s="8">
        <v>3.14</v>
      </c>
      <c r="E118" s="4">
        <v>63</v>
      </c>
      <c r="F118" s="8">
        <v>7.15</v>
      </c>
      <c r="G118" s="4">
        <v>8</v>
      </c>
      <c r="H118" s="8">
        <v>0.57999999999999996</v>
      </c>
      <c r="I118" s="4">
        <v>0</v>
      </c>
    </row>
    <row r="119" spans="1:9" x14ac:dyDescent="0.2">
      <c r="A119" s="2">
        <v>4</v>
      </c>
      <c r="B119" s="1" t="s">
        <v>174</v>
      </c>
      <c r="C119" s="4">
        <v>68</v>
      </c>
      <c r="D119" s="8">
        <v>3.01</v>
      </c>
      <c r="E119" s="4">
        <v>57</v>
      </c>
      <c r="F119" s="8">
        <v>6.47</v>
      </c>
      <c r="G119" s="4">
        <v>11</v>
      </c>
      <c r="H119" s="8">
        <v>0.8</v>
      </c>
      <c r="I119" s="4">
        <v>0</v>
      </c>
    </row>
    <row r="120" spans="1:9" x14ac:dyDescent="0.2">
      <c r="A120" s="2">
        <v>5</v>
      </c>
      <c r="B120" s="1" t="s">
        <v>161</v>
      </c>
      <c r="C120" s="4">
        <v>65</v>
      </c>
      <c r="D120" s="8">
        <v>2.87</v>
      </c>
      <c r="E120" s="4">
        <v>9</v>
      </c>
      <c r="F120" s="8">
        <v>1.02</v>
      </c>
      <c r="G120" s="4">
        <v>56</v>
      </c>
      <c r="H120" s="8">
        <v>4.07</v>
      </c>
      <c r="I120" s="4">
        <v>0</v>
      </c>
    </row>
    <row r="121" spans="1:9" x14ac:dyDescent="0.2">
      <c r="A121" s="2">
        <v>6</v>
      </c>
      <c r="B121" s="1" t="s">
        <v>175</v>
      </c>
      <c r="C121" s="4">
        <v>61</v>
      </c>
      <c r="D121" s="8">
        <v>2.7</v>
      </c>
      <c r="E121" s="4">
        <v>51</v>
      </c>
      <c r="F121" s="8">
        <v>5.79</v>
      </c>
      <c r="G121" s="4">
        <v>10</v>
      </c>
      <c r="H121" s="8">
        <v>0.73</v>
      </c>
      <c r="I121" s="4">
        <v>0</v>
      </c>
    </row>
    <row r="122" spans="1:9" x14ac:dyDescent="0.2">
      <c r="A122" s="2">
        <v>7</v>
      </c>
      <c r="B122" s="1" t="s">
        <v>160</v>
      </c>
      <c r="C122" s="4">
        <v>56</v>
      </c>
      <c r="D122" s="8">
        <v>2.48</v>
      </c>
      <c r="E122" s="4">
        <v>5</v>
      </c>
      <c r="F122" s="8">
        <v>0.56999999999999995</v>
      </c>
      <c r="G122" s="4">
        <v>51</v>
      </c>
      <c r="H122" s="8">
        <v>3.71</v>
      </c>
      <c r="I122" s="4">
        <v>0</v>
      </c>
    </row>
    <row r="123" spans="1:9" x14ac:dyDescent="0.2">
      <c r="A123" s="2">
        <v>8</v>
      </c>
      <c r="B123" s="1" t="s">
        <v>178</v>
      </c>
      <c r="C123" s="4">
        <v>55</v>
      </c>
      <c r="D123" s="8">
        <v>2.4300000000000002</v>
      </c>
      <c r="E123" s="4">
        <v>13</v>
      </c>
      <c r="F123" s="8">
        <v>1.48</v>
      </c>
      <c r="G123" s="4">
        <v>42</v>
      </c>
      <c r="H123" s="8">
        <v>3.05</v>
      </c>
      <c r="I123" s="4">
        <v>0</v>
      </c>
    </row>
    <row r="124" spans="1:9" x14ac:dyDescent="0.2">
      <c r="A124" s="2">
        <v>9</v>
      </c>
      <c r="B124" s="1" t="s">
        <v>168</v>
      </c>
      <c r="C124" s="4">
        <v>46</v>
      </c>
      <c r="D124" s="8">
        <v>2.0299999999999998</v>
      </c>
      <c r="E124" s="4">
        <v>2</v>
      </c>
      <c r="F124" s="8">
        <v>0.23</v>
      </c>
      <c r="G124" s="4">
        <v>44</v>
      </c>
      <c r="H124" s="8">
        <v>3.2</v>
      </c>
      <c r="I124" s="4">
        <v>0</v>
      </c>
    </row>
    <row r="125" spans="1:9" x14ac:dyDescent="0.2">
      <c r="A125" s="2">
        <v>9</v>
      </c>
      <c r="B125" s="1" t="s">
        <v>170</v>
      </c>
      <c r="C125" s="4">
        <v>46</v>
      </c>
      <c r="D125" s="8">
        <v>2.0299999999999998</v>
      </c>
      <c r="E125" s="4">
        <v>42</v>
      </c>
      <c r="F125" s="8">
        <v>4.7699999999999996</v>
      </c>
      <c r="G125" s="4">
        <v>4</v>
      </c>
      <c r="H125" s="8">
        <v>0.28999999999999998</v>
      </c>
      <c r="I125" s="4">
        <v>0</v>
      </c>
    </row>
    <row r="126" spans="1:9" x14ac:dyDescent="0.2">
      <c r="A126" s="2">
        <v>11</v>
      </c>
      <c r="B126" s="1" t="s">
        <v>179</v>
      </c>
      <c r="C126" s="4">
        <v>45</v>
      </c>
      <c r="D126" s="8">
        <v>1.99</v>
      </c>
      <c r="E126" s="4">
        <v>24</v>
      </c>
      <c r="F126" s="8">
        <v>2.72</v>
      </c>
      <c r="G126" s="4">
        <v>21</v>
      </c>
      <c r="H126" s="8">
        <v>1.53</v>
      </c>
      <c r="I126" s="4">
        <v>0</v>
      </c>
    </row>
    <row r="127" spans="1:9" x14ac:dyDescent="0.2">
      <c r="A127" s="2">
        <v>12</v>
      </c>
      <c r="B127" s="1" t="s">
        <v>157</v>
      </c>
      <c r="C127" s="4">
        <v>42</v>
      </c>
      <c r="D127" s="8">
        <v>1.86</v>
      </c>
      <c r="E127" s="4">
        <v>1</v>
      </c>
      <c r="F127" s="8">
        <v>0.11</v>
      </c>
      <c r="G127" s="4">
        <v>41</v>
      </c>
      <c r="H127" s="8">
        <v>2.98</v>
      </c>
      <c r="I127" s="4">
        <v>0</v>
      </c>
    </row>
    <row r="128" spans="1:9" x14ac:dyDescent="0.2">
      <c r="A128" s="2">
        <v>13</v>
      </c>
      <c r="B128" s="1" t="s">
        <v>171</v>
      </c>
      <c r="C128" s="4">
        <v>38</v>
      </c>
      <c r="D128" s="8">
        <v>1.68</v>
      </c>
      <c r="E128" s="4">
        <v>26</v>
      </c>
      <c r="F128" s="8">
        <v>2.95</v>
      </c>
      <c r="G128" s="4">
        <v>12</v>
      </c>
      <c r="H128" s="8">
        <v>0.87</v>
      </c>
      <c r="I128" s="4">
        <v>0</v>
      </c>
    </row>
    <row r="129" spans="1:9" x14ac:dyDescent="0.2">
      <c r="A129" s="2">
        <v>14</v>
      </c>
      <c r="B129" s="1" t="s">
        <v>159</v>
      </c>
      <c r="C129" s="4">
        <v>37</v>
      </c>
      <c r="D129" s="8">
        <v>1.64</v>
      </c>
      <c r="E129" s="4">
        <v>11</v>
      </c>
      <c r="F129" s="8">
        <v>1.25</v>
      </c>
      <c r="G129" s="4">
        <v>26</v>
      </c>
      <c r="H129" s="8">
        <v>1.89</v>
      </c>
      <c r="I129" s="4">
        <v>0</v>
      </c>
    </row>
    <row r="130" spans="1:9" x14ac:dyDescent="0.2">
      <c r="A130" s="2">
        <v>14</v>
      </c>
      <c r="B130" s="1" t="s">
        <v>164</v>
      </c>
      <c r="C130" s="4">
        <v>37</v>
      </c>
      <c r="D130" s="8">
        <v>1.64</v>
      </c>
      <c r="E130" s="4">
        <v>21</v>
      </c>
      <c r="F130" s="8">
        <v>2.38</v>
      </c>
      <c r="G130" s="4">
        <v>16</v>
      </c>
      <c r="H130" s="8">
        <v>1.1599999999999999</v>
      </c>
      <c r="I130" s="4">
        <v>0</v>
      </c>
    </row>
    <row r="131" spans="1:9" x14ac:dyDescent="0.2">
      <c r="A131" s="2">
        <v>16</v>
      </c>
      <c r="B131" s="1" t="s">
        <v>177</v>
      </c>
      <c r="C131" s="4">
        <v>36</v>
      </c>
      <c r="D131" s="8">
        <v>1.59</v>
      </c>
      <c r="E131" s="4">
        <v>3</v>
      </c>
      <c r="F131" s="8">
        <v>0.34</v>
      </c>
      <c r="G131" s="4">
        <v>33</v>
      </c>
      <c r="H131" s="8">
        <v>2.4</v>
      </c>
      <c r="I131" s="4">
        <v>0</v>
      </c>
    </row>
    <row r="132" spans="1:9" x14ac:dyDescent="0.2">
      <c r="A132" s="2">
        <v>16</v>
      </c>
      <c r="B132" s="1" t="s">
        <v>166</v>
      </c>
      <c r="C132" s="4">
        <v>36</v>
      </c>
      <c r="D132" s="8">
        <v>1.59</v>
      </c>
      <c r="E132" s="4">
        <v>2</v>
      </c>
      <c r="F132" s="8">
        <v>0.23</v>
      </c>
      <c r="G132" s="4">
        <v>34</v>
      </c>
      <c r="H132" s="8">
        <v>2.4700000000000002</v>
      </c>
      <c r="I132" s="4">
        <v>0</v>
      </c>
    </row>
    <row r="133" spans="1:9" x14ac:dyDescent="0.2">
      <c r="A133" s="2">
        <v>18</v>
      </c>
      <c r="B133" s="1" t="s">
        <v>193</v>
      </c>
      <c r="C133" s="4">
        <v>33</v>
      </c>
      <c r="D133" s="8">
        <v>1.46</v>
      </c>
      <c r="E133" s="4">
        <v>7</v>
      </c>
      <c r="F133" s="8">
        <v>0.79</v>
      </c>
      <c r="G133" s="4">
        <v>26</v>
      </c>
      <c r="H133" s="8">
        <v>1.89</v>
      </c>
      <c r="I133" s="4">
        <v>0</v>
      </c>
    </row>
    <row r="134" spans="1:9" x14ac:dyDescent="0.2">
      <c r="A134" s="2">
        <v>18</v>
      </c>
      <c r="B134" s="1" t="s">
        <v>169</v>
      </c>
      <c r="C134" s="4">
        <v>33</v>
      </c>
      <c r="D134" s="8">
        <v>1.46</v>
      </c>
      <c r="E134" s="4">
        <v>27</v>
      </c>
      <c r="F134" s="8">
        <v>3.06</v>
      </c>
      <c r="G134" s="4">
        <v>6</v>
      </c>
      <c r="H134" s="8">
        <v>0.44</v>
      </c>
      <c r="I134" s="4">
        <v>0</v>
      </c>
    </row>
    <row r="135" spans="1:9" x14ac:dyDescent="0.2">
      <c r="A135" s="2">
        <v>20</v>
      </c>
      <c r="B135" s="1" t="s">
        <v>181</v>
      </c>
      <c r="C135" s="4">
        <v>32</v>
      </c>
      <c r="D135" s="8">
        <v>1.41</v>
      </c>
      <c r="E135" s="4">
        <v>5</v>
      </c>
      <c r="F135" s="8">
        <v>0.56999999999999995</v>
      </c>
      <c r="G135" s="4">
        <v>27</v>
      </c>
      <c r="H135" s="8">
        <v>1.96</v>
      </c>
      <c r="I135" s="4">
        <v>0</v>
      </c>
    </row>
    <row r="136" spans="1:9" x14ac:dyDescent="0.2">
      <c r="A136" s="2">
        <v>20</v>
      </c>
      <c r="B136" s="1" t="s">
        <v>192</v>
      </c>
      <c r="C136" s="4">
        <v>32</v>
      </c>
      <c r="D136" s="8">
        <v>1.41</v>
      </c>
      <c r="E136" s="4">
        <v>28</v>
      </c>
      <c r="F136" s="8">
        <v>3.18</v>
      </c>
      <c r="G136" s="4">
        <v>4</v>
      </c>
      <c r="H136" s="8">
        <v>0.28999999999999998</v>
      </c>
      <c r="I136" s="4">
        <v>0</v>
      </c>
    </row>
    <row r="137" spans="1:9" x14ac:dyDescent="0.2">
      <c r="A137" s="1"/>
      <c r="C137" s="4"/>
      <c r="D137" s="8"/>
      <c r="E137" s="4"/>
      <c r="F137" s="8"/>
      <c r="G137" s="4"/>
      <c r="H137" s="8"/>
      <c r="I137" s="4"/>
    </row>
    <row r="138" spans="1:9" x14ac:dyDescent="0.2">
      <c r="A138" s="1" t="s">
        <v>6</v>
      </c>
      <c r="C138" s="4"/>
      <c r="D138" s="8"/>
      <c r="E138" s="4"/>
      <c r="F138" s="8"/>
      <c r="G138" s="4"/>
      <c r="H138" s="8"/>
      <c r="I138" s="4"/>
    </row>
    <row r="139" spans="1:9" x14ac:dyDescent="0.2">
      <c r="A139" s="2">
        <v>1</v>
      </c>
      <c r="B139" s="1" t="s">
        <v>167</v>
      </c>
      <c r="C139" s="4">
        <v>87</v>
      </c>
      <c r="D139" s="8">
        <v>5.65</v>
      </c>
      <c r="E139" s="4">
        <v>28</v>
      </c>
      <c r="F139" s="8">
        <v>5.17</v>
      </c>
      <c r="G139" s="4">
        <v>59</v>
      </c>
      <c r="H139" s="8">
        <v>5.97</v>
      </c>
      <c r="I139" s="4">
        <v>0</v>
      </c>
    </row>
    <row r="140" spans="1:9" x14ac:dyDescent="0.2">
      <c r="A140" s="2">
        <v>2</v>
      </c>
      <c r="B140" s="1" t="s">
        <v>173</v>
      </c>
      <c r="C140" s="4">
        <v>78</v>
      </c>
      <c r="D140" s="8">
        <v>5.07</v>
      </c>
      <c r="E140" s="4">
        <v>62</v>
      </c>
      <c r="F140" s="8">
        <v>11.44</v>
      </c>
      <c r="G140" s="4">
        <v>16</v>
      </c>
      <c r="H140" s="8">
        <v>1.62</v>
      </c>
      <c r="I140" s="4">
        <v>0</v>
      </c>
    </row>
    <row r="141" spans="1:9" x14ac:dyDescent="0.2">
      <c r="A141" s="2">
        <v>3</v>
      </c>
      <c r="B141" s="1" t="s">
        <v>169</v>
      </c>
      <c r="C141" s="4">
        <v>47</v>
      </c>
      <c r="D141" s="8">
        <v>3.05</v>
      </c>
      <c r="E141" s="4">
        <v>33</v>
      </c>
      <c r="F141" s="8">
        <v>6.09</v>
      </c>
      <c r="G141" s="4">
        <v>14</v>
      </c>
      <c r="H141" s="8">
        <v>1.42</v>
      </c>
      <c r="I141" s="4">
        <v>0</v>
      </c>
    </row>
    <row r="142" spans="1:9" x14ac:dyDescent="0.2">
      <c r="A142" s="2">
        <v>3</v>
      </c>
      <c r="B142" s="1" t="s">
        <v>172</v>
      </c>
      <c r="C142" s="4">
        <v>47</v>
      </c>
      <c r="D142" s="8">
        <v>3.05</v>
      </c>
      <c r="E142" s="4">
        <v>42</v>
      </c>
      <c r="F142" s="8">
        <v>7.75</v>
      </c>
      <c r="G142" s="4">
        <v>5</v>
      </c>
      <c r="H142" s="8">
        <v>0.51</v>
      </c>
      <c r="I142" s="4">
        <v>0</v>
      </c>
    </row>
    <row r="143" spans="1:9" x14ac:dyDescent="0.2">
      <c r="A143" s="2">
        <v>5</v>
      </c>
      <c r="B143" s="1" t="s">
        <v>175</v>
      </c>
      <c r="C143" s="4">
        <v>43</v>
      </c>
      <c r="D143" s="8">
        <v>2.79</v>
      </c>
      <c r="E143" s="4">
        <v>39</v>
      </c>
      <c r="F143" s="8">
        <v>7.2</v>
      </c>
      <c r="G143" s="4">
        <v>4</v>
      </c>
      <c r="H143" s="8">
        <v>0.4</v>
      </c>
      <c r="I143" s="4">
        <v>0</v>
      </c>
    </row>
    <row r="144" spans="1:9" x14ac:dyDescent="0.2">
      <c r="A144" s="2">
        <v>6</v>
      </c>
      <c r="B144" s="1" t="s">
        <v>174</v>
      </c>
      <c r="C144" s="4">
        <v>39</v>
      </c>
      <c r="D144" s="8">
        <v>2.5299999999999998</v>
      </c>
      <c r="E144" s="4">
        <v>22</v>
      </c>
      <c r="F144" s="8">
        <v>4.0599999999999996</v>
      </c>
      <c r="G144" s="4">
        <v>17</v>
      </c>
      <c r="H144" s="8">
        <v>1.72</v>
      </c>
      <c r="I144" s="4">
        <v>0</v>
      </c>
    </row>
    <row r="145" spans="1:9" x14ac:dyDescent="0.2">
      <c r="A145" s="2">
        <v>7</v>
      </c>
      <c r="B145" s="1" t="s">
        <v>178</v>
      </c>
      <c r="C145" s="4">
        <v>35</v>
      </c>
      <c r="D145" s="8">
        <v>2.27</v>
      </c>
      <c r="E145" s="4">
        <v>5</v>
      </c>
      <c r="F145" s="8">
        <v>0.92</v>
      </c>
      <c r="G145" s="4">
        <v>30</v>
      </c>
      <c r="H145" s="8">
        <v>3.03</v>
      </c>
      <c r="I145" s="4">
        <v>0</v>
      </c>
    </row>
    <row r="146" spans="1:9" x14ac:dyDescent="0.2">
      <c r="A146" s="2">
        <v>8</v>
      </c>
      <c r="B146" s="1" t="s">
        <v>171</v>
      </c>
      <c r="C146" s="4">
        <v>34</v>
      </c>
      <c r="D146" s="8">
        <v>2.21</v>
      </c>
      <c r="E146" s="4">
        <v>21</v>
      </c>
      <c r="F146" s="8">
        <v>3.87</v>
      </c>
      <c r="G146" s="4">
        <v>13</v>
      </c>
      <c r="H146" s="8">
        <v>1.31</v>
      </c>
      <c r="I146" s="4">
        <v>0</v>
      </c>
    </row>
    <row r="147" spans="1:9" x14ac:dyDescent="0.2">
      <c r="A147" s="2">
        <v>9</v>
      </c>
      <c r="B147" s="1" t="s">
        <v>168</v>
      </c>
      <c r="C147" s="4">
        <v>29</v>
      </c>
      <c r="D147" s="8">
        <v>1.88</v>
      </c>
      <c r="E147" s="4">
        <v>1</v>
      </c>
      <c r="F147" s="8">
        <v>0.18</v>
      </c>
      <c r="G147" s="4">
        <v>28</v>
      </c>
      <c r="H147" s="8">
        <v>2.83</v>
      </c>
      <c r="I147" s="4">
        <v>0</v>
      </c>
    </row>
    <row r="148" spans="1:9" x14ac:dyDescent="0.2">
      <c r="A148" s="2">
        <v>10</v>
      </c>
      <c r="B148" s="1" t="s">
        <v>164</v>
      </c>
      <c r="C148" s="4">
        <v>27</v>
      </c>
      <c r="D148" s="8">
        <v>1.75</v>
      </c>
      <c r="E148" s="4">
        <v>14</v>
      </c>
      <c r="F148" s="8">
        <v>2.58</v>
      </c>
      <c r="G148" s="4">
        <v>13</v>
      </c>
      <c r="H148" s="8">
        <v>1.31</v>
      </c>
      <c r="I148" s="4">
        <v>0</v>
      </c>
    </row>
    <row r="149" spans="1:9" x14ac:dyDescent="0.2">
      <c r="A149" s="2">
        <v>11</v>
      </c>
      <c r="B149" s="1" t="s">
        <v>165</v>
      </c>
      <c r="C149" s="4">
        <v>26</v>
      </c>
      <c r="D149" s="8">
        <v>1.69</v>
      </c>
      <c r="E149" s="4">
        <v>3</v>
      </c>
      <c r="F149" s="8">
        <v>0.55000000000000004</v>
      </c>
      <c r="G149" s="4">
        <v>23</v>
      </c>
      <c r="H149" s="8">
        <v>2.33</v>
      </c>
      <c r="I149" s="4">
        <v>0</v>
      </c>
    </row>
    <row r="150" spans="1:9" x14ac:dyDescent="0.2">
      <c r="A150" s="2">
        <v>11</v>
      </c>
      <c r="B150" s="1" t="s">
        <v>193</v>
      </c>
      <c r="C150" s="4">
        <v>26</v>
      </c>
      <c r="D150" s="8">
        <v>1.69</v>
      </c>
      <c r="E150" s="4">
        <v>2</v>
      </c>
      <c r="F150" s="8">
        <v>0.37</v>
      </c>
      <c r="G150" s="4">
        <v>24</v>
      </c>
      <c r="H150" s="8">
        <v>2.4300000000000002</v>
      </c>
      <c r="I150" s="4">
        <v>0</v>
      </c>
    </row>
    <row r="151" spans="1:9" x14ac:dyDescent="0.2">
      <c r="A151" s="2">
        <v>11</v>
      </c>
      <c r="B151" s="1" t="s">
        <v>195</v>
      </c>
      <c r="C151" s="4">
        <v>26</v>
      </c>
      <c r="D151" s="8">
        <v>1.69</v>
      </c>
      <c r="E151" s="4">
        <v>23</v>
      </c>
      <c r="F151" s="8">
        <v>4.24</v>
      </c>
      <c r="G151" s="4">
        <v>3</v>
      </c>
      <c r="H151" s="8">
        <v>0.3</v>
      </c>
      <c r="I151" s="4">
        <v>0</v>
      </c>
    </row>
    <row r="152" spans="1:9" x14ac:dyDescent="0.2">
      <c r="A152" s="2">
        <v>14</v>
      </c>
      <c r="B152" s="1" t="s">
        <v>194</v>
      </c>
      <c r="C152" s="4">
        <v>25</v>
      </c>
      <c r="D152" s="8">
        <v>1.62</v>
      </c>
      <c r="E152" s="4">
        <v>2</v>
      </c>
      <c r="F152" s="8">
        <v>0.37</v>
      </c>
      <c r="G152" s="4">
        <v>23</v>
      </c>
      <c r="H152" s="8">
        <v>2.33</v>
      </c>
      <c r="I152" s="4">
        <v>0</v>
      </c>
    </row>
    <row r="153" spans="1:9" x14ac:dyDescent="0.2">
      <c r="A153" s="2">
        <v>15</v>
      </c>
      <c r="B153" s="1" t="s">
        <v>166</v>
      </c>
      <c r="C153" s="4">
        <v>23</v>
      </c>
      <c r="D153" s="8">
        <v>1.49</v>
      </c>
      <c r="E153" s="4">
        <v>1</v>
      </c>
      <c r="F153" s="8">
        <v>0.18</v>
      </c>
      <c r="G153" s="4">
        <v>22</v>
      </c>
      <c r="H153" s="8">
        <v>2.2200000000000002</v>
      </c>
      <c r="I153" s="4">
        <v>0</v>
      </c>
    </row>
    <row r="154" spans="1:9" x14ac:dyDescent="0.2">
      <c r="A154" s="2">
        <v>15</v>
      </c>
      <c r="B154" s="1" t="s">
        <v>170</v>
      </c>
      <c r="C154" s="4">
        <v>23</v>
      </c>
      <c r="D154" s="8">
        <v>1.49</v>
      </c>
      <c r="E154" s="4">
        <v>19</v>
      </c>
      <c r="F154" s="8">
        <v>3.51</v>
      </c>
      <c r="G154" s="4">
        <v>4</v>
      </c>
      <c r="H154" s="8">
        <v>0.4</v>
      </c>
      <c r="I154" s="4">
        <v>0</v>
      </c>
    </row>
    <row r="155" spans="1:9" x14ac:dyDescent="0.2">
      <c r="A155" s="2">
        <v>17</v>
      </c>
      <c r="B155" s="1" t="s">
        <v>177</v>
      </c>
      <c r="C155" s="4">
        <v>22</v>
      </c>
      <c r="D155" s="8">
        <v>1.43</v>
      </c>
      <c r="E155" s="4">
        <v>1</v>
      </c>
      <c r="F155" s="8">
        <v>0.18</v>
      </c>
      <c r="G155" s="4">
        <v>21</v>
      </c>
      <c r="H155" s="8">
        <v>2.12</v>
      </c>
      <c r="I155" s="4">
        <v>0</v>
      </c>
    </row>
    <row r="156" spans="1:9" x14ac:dyDescent="0.2">
      <c r="A156" s="2">
        <v>17</v>
      </c>
      <c r="B156" s="1" t="s">
        <v>196</v>
      </c>
      <c r="C156" s="4">
        <v>22</v>
      </c>
      <c r="D156" s="8">
        <v>1.43</v>
      </c>
      <c r="E156" s="4">
        <v>0</v>
      </c>
      <c r="F156" s="8">
        <v>0</v>
      </c>
      <c r="G156" s="4">
        <v>22</v>
      </c>
      <c r="H156" s="8">
        <v>2.2200000000000002</v>
      </c>
      <c r="I156" s="4">
        <v>0</v>
      </c>
    </row>
    <row r="157" spans="1:9" x14ac:dyDescent="0.2">
      <c r="A157" s="2">
        <v>19</v>
      </c>
      <c r="B157" s="1" t="s">
        <v>185</v>
      </c>
      <c r="C157" s="4">
        <v>21</v>
      </c>
      <c r="D157" s="8">
        <v>1.36</v>
      </c>
      <c r="E157" s="4">
        <v>5</v>
      </c>
      <c r="F157" s="8">
        <v>0.92</v>
      </c>
      <c r="G157" s="4">
        <v>16</v>
      </c>
      <c r="H157" s="8">
        <v>1.62</v>
      </c>
      <c r="I157" s="4">
        <v>0</v>
      </c>
    </row>
    <row r="158" spans="1:9" x14ac:dyDescent="0.2">
      <c r="A158" s="2">
        <v>20</v>
      </c>
      <c r="B158" s="1" t="s">
        <v>160</v>
      </c>
      <c r="C158" s="4">
        <v>20</v>
      </c>
      <c r="D158" s="8">
        <v>1.3</v>
      </c>
      <c r="E158" s="4">
        <v>1</v>
      </c>
      <c r="F158" s="8">
        <v>0.18</v>
      </c>
      <c r="G158" s="4">
        <v>19</v>
      </c>
      <c r="H158" s="8">
        <v>1.92</v>
      </c>
      <c r="I158" s="4">
        <v>0</v>
      </c>
    </row>
    <row r="159" spans="1:9" x14ac:dyDescent="0.2">
      <c r="A159" s="2">
        <v>20</v>
      </c>
      <c r="B159" s="1" t="s">
        <v>162</v>
      </c>
      <c r="C159" s="4">
        <v>20</v>
      </c>
      <c r="D159" s="8">
        <v>1.3</v>
      </c>
      <c r="E159" s="4">
        <v>13</v>
      </c>
      <c r="F159" s="8">
        <v>2.4</v>
      </c>
      <c r="G159" s="4">
        <v>7</v>
      </c>
      <c r="H159" s="8">
        <v>0.71</v>
      </c>
      <c r="I159" s="4">
        <v>0</v>
      </c>
    </row>
    <row r="160" spans="1:9" x14ac:dyDescent="0.2">
      <c r="A160" s="1"/>
      <c r="C160" s="4"/>
      <c r="D160" s="8"/>
      <c r="E160" s="4"/>
      <c r="F160" s="8"/>
      <c r="G160" s="4"/>
      <c r="H160" s="8"/>
      <c r="I160" s="4"/>
    </row>
    <row r="161" spans="1:9" x14ac:dyDescent="0.2">
      <c r="A161" s="1" t="s">
        <v>7</v>
      </c>
      <c r="C161" s="4"/>
      <c r="D161" s="8"/>
      <c r="E161" s="4"/>
      <c r="F161" s="8"/>
      <c r="G161" s="4"/>
      <c r="H161" s="8"/>
      <c r="I161" s="4"/>
    </row>
    <row r="162" spans="1:9" x14ac:dyDescent="0.2">
      <c r="A162" s="2">
        <v>1</v>
      </c>
      <c r="B162" s="1" t="s">
        <v>167</v>
      </c>
      <c r="C162" s="4">
        <v>94</v>
      </c>
      <c r="D162" s="8">
        <v>6.74</v>
      </c>
      <c r="E162" s="4">
        <v>50</v>
      </c>
      <c r="F162" s="8">
        <v>10.35</v>
      </c>
      <c r="G162" s="4">
        <v>44</v>
      </c>
      <c r="H162" s="8">
        <v>4.8600000000000003</v>
      </c>
      <c r="I162" s="4">
        <v>0</v>
      </c>
    </row>
    <row r="163" spans="1:9" x14ac:dyDescent="0.2">
      <c r="A163" s="2">
        <v>2</v>
      </c>
      <c r="B163" s="1" t="s">
        <v>173</v>
      </c>
      <c r="C163" s="4">
        <v>51</v>
      </c>
      <c r="D163" s="8">
        <v>3.66</v>
      </c>
      <c r="E163" s="4">
        <v>47</v>
      </c>
      <c r="F163" s="8">
        <v>9.73</v>
      </c>
      <c r="G163" s="4">
        <v>4</v>
      </c>
      <c r="H163" s="8">
        <v>0.44</v>
      </c>
      <c r="I163" s="4">
        <v>0</v>
      </c>
    </row>
    <row r="164" spans="1:9" x14ac:dyDescent="0.2">
      <c r="A164" s="2">
        <v>3</v>
      </c>
      <c r="B164" s="1" t="s">
        <v>172</v>
      </c>
      <c r="C164" s="4">
        <v>46</v>
      </c>
      <c r="D164" s="8">
        <v>3.3</v>
      </c>
      <c r="E164" s="4">
        <v>38</v>
      </c>
      <c r="F164" s="8">
        <v>7.87</v>
      </c>
      <c r="G164" s="4">
        <v>8</v>
      </c>
      <c r="H164" s="8">
        <v>0.88</v>
      </c>
      <c r="I164" s="4">
        <v>0</v>
      </c>
    </row>
    <row r="165" spans="1:9" x14ac:dyDescent="0.2">
      <c r="A165" s="2">
        <v>4</v>
      </c>
      <c r="B165" s="1" t="s">
        <v>170</v>
      </c>
      <c r="C165" s="4">
        <v>41</v>
      </c>
      <c r="D165" s="8">
        <v>2.94</v>
      </c>
      <c r="E165" s="4">
        <v>37</v>
      </c>
      <c r="F165" s="8">
        <v>7.66</v>
      </c>
      <c r="G165" s="4">
        <v>4</v>
      </c>
      <c r="H165" s="8">
        <v>0.44</v>
      </c>
      <c r="I165" s="4">
        <v>0</v>
      </c>
    </row>
    <row r="166" spans="1:9" x14ac:dyDescent="0.2">
      <c r="A166" s="2">
        <v>5</v>
      </c>
      <c r="B166" s="1" t="s">
        <v>168</v>
      </c>
      <c r="C166" s="4">
        <v>39</v>
      </c>
      <c r="D166" s="8">
        <v>2.8</v>
      </c>
      <c r="E166" s="4">
        <v>1</v>
      </c>
      <c r="F166" s="8">
        <v>0.21</v>
      </c>
      <c r="G166" s="4">
        <v>38</v>
      </c>
      <c r="H166" s="8">
        <v>4.1900000000000004</v>
      </c>
      <c r="I166" s="4">
        <v>0</v>
      </c>
    </row>
    <row r="167" spans="1:9" x14ac:dyDescent="0.2">
      <c r="A167" s="2">
        <v>6</v>
      </c>
      <c r="B167" s="1" t="s">
        <v>174</v>
      </c>
      <c r="C167" s="4">
        <v>38</v>
      </c>
      <c r="D167" s="8">
        <v>2.73</v>
      </c>
      <c r="E167" s="4">
        <v>31</v>
      </c>
      <c r="F167" s="8">
        <v>6.42</v>
      </c>
      <c r="G167" s="4">
        <v>7</v>
      </c>
      <c r="H167" s="8">
        <v>0.77</v>
      </c>
      <c r="I167" s="4">
        <v>0</v>
      </c>
    </row>
    <row r="168" spans="1:9" x14ac:dyDescent="0.2">
      <c r="A168" s="2">
        <v>7</v>
      </c>
      <c r="B168" s="1" t="s">
        <v>161</v>
      </c>
      <c r="C168" s="4">
        <v>33</v>
      </c>
      <c r="D168" s="8">
        <v>2.37</v>
      </c>
      <c r="E168" s="4">
        <v>5</v>
      </c>
      <c r="F168" s="8">
        <v>1.04</v>
      </c>
      <c r="G168" s="4">
        <v>28</v>
      </c>
      <c r="H168" s="8">
        <v>3.09</v>
      </c>
      <c r="I168" s="4">
        <v>0</v>
      </c>
    </row>
    <row r="169" spans="1:9" x14ac:dyDescent="0.2">
      <c r="A169" s="2">
        <v>8</v>
      </c>
      <c r="B169" s="1" t="s">
        <v>169</v>
      </c>
      <c r="C169" s="4">
        <v>32</v>
      </c>
      <c r="D169" s="8">
        <v>2.2999999999999998</v>
      </c>
      <c r="E169" s="4">
        <v>28</v>
      </c>
      <c r="F169" s="8">
        <v>5.8</v>
      </c>
      <c r="G169" s="4">
        <v>4</v>
      </c>
      <c r="H169" s="8">
        <v>0.44</v>
      </c>
      <c r="I169" s="4">
        <v>0</v>
      </c>
    </row>
    <row r="170" spans="1:9" x14ac:dyDescent="0.2">
      <c r="A170" s="2">
        <v>9</v>
      </c>
      <c r="B170" s="1" t="s">
        <v>166</v>
      </c>
      <c r="C170" s="4">
        <v>29</v>
      </c>
      <c r="D170" s="8">
        <v>2.08</v>
      </c>
      <c r="E170" s="4">
        <v>2</v>
      </c>
      <c r="F170" s="8">
        <v>0.41</v>
      </c>
      <c r="G170" s="4">
        <v>27</v>
      </c>
      <c r="H170" s="8">
        <v>2.98</v>
      </c>
      <c r="I170" s="4">
        <v>0</v>
      </c>
    </row>
    <row r="171" spans="1:9" x14ac:dyDescent="0.2">
      <c r="A171" s="2">
        <v>10</v>
      </c>
      <c r="B171" s="1" t="s">
        <v>177</v>
      </c>
      <c r="C171" s="4">
        <v>28</v>
      </c>
      <c r="D171" s="8">
        <v>2.0099999999999998</v>
      </c>
      <c r="E171" s="4">
        <v>7</v>
      </c>
      <c r="F171" s="8">
        <v>1.45</v>
      </c>
      <c r="G171" s="4">
        <v>21</v>
      </c>
      <c r="H171" s="8">
        <v>2.3199999999999998</v>
      </c>
      <c r="I171" s="4">
        <v>0</v>
      </c>
    </row>
    <row r="172" spans="1:9" x14ac:dyDescent="0.2">
      <c r="A172" s="2">
        <v>11</v>
      </c>
      <c r="B172" s="1" t="s">
        <v>160</v>
      </c>
      <c r="C172" s="4">
        <v>26</v>
      </c>
      <c r="D172" s="8">
        <v>1.87</v>
      </c>
      <c r="E172" s="4">
        <v>6</v>
      </c>
      <c r="F172" s="8">
        <v>1.24</v>
      </c>
      <c r="G172" s="4">
        <v>20</v>
      </c>
      <c r="H172" s="8">
        <v>2.21</v>
      </c>
      <c r="I172" s="4">
        <v>0</v>
      </c>
    </row>
    <row r="173" spans="1:9" x14ac:dyDescent="0.2">
      <c r="A173" s="2">
        <v>12</v>
      </c>
      <c r="B173" s="1" t="s">
        <v>171</v>
      </c>
      <c r="C173" s="4">
        <v>25</v>
      </c>
      <c r="D173" s="8">
        <v>1.79</v>
      </c>
      <c r="E173" s="4">
        <v>11</v>
      </c>
      <c r="F173" s="8">
        <v>2.2799999999999998</v>
      </c>
      <c r="G173" s="4">
        <v>14</v>
      </c>
      <c r="H173" s="8">
        <v>1.55</v>
      </c>
      <c r="I173" s="4">
        <v>0</v>
      </c>
    </row>
    <row r="174" spans="1:9" x14ac:dyDescent="0.2">
      <c r="A174" s="2">
        <v>13</v>
      </c>
      <c r="B174" s="1" t="s">
        <v>182</v>
      </c>
      <c r="C174" s="4">
        <v>22</v>
      </c>
      <c r="D174" s="8">
        <v>1.58</v>
      </c>
      <c r="E174" s="4">
        <v>2</v>
      </c>
      <c r="F174" s="8">
        <v>0.41</v>
      </c>
      <c r="G174" s="4">
        <v>20</v>
      </c>
      <c r="H174" s="8">
        <v>2.21</v>
      </c>
      <c r="I174" s="4">
        <v>0</v>
      </c>
    </row>
    <row r="175" spans="1:9" x14ac:dyDescent="0.2">
      <c r="A175" s="2">
        <v>13</v>
      </c>
      <c r="B175" s="1" t="s">
        <v>175</v>
      </c>
      <c r="C175" s="4">
        <v>22</v>
      </c>
      <c r="D175" s="8">
        <v>1.58</v>
      </c>
      <c r="E175" s="4">
        <v>18</v>
      </c>
      <c r="F175" s="8">
        <v>3.73</v>
      </c>
      <c r="G175" s="4">
        <v>4</v>
      </c>
      <c r="H175" s="8">
        <v>0.44</v>
      </c>
      <c r="I175" s="4">
        <v>0</v>
      </c>
    </row>
    <row r="176" spans="1:9" x14ac:dyDescent="0.2">
      <c r="A176" s="2">
        <v>15</v>
      </c>
      <c r="B176" s="1" t="s">
        <v>158</v>
      </c>
      <c r="C176" s="4">
        <v>21</v>
      </c>
      <c r="D176" s="8">
        <v>1.51</v>
      </c>
      <c r="E176" s="4">
        <v>3</v>
      </c>
      <c r="F176" s="8">
        <v>0.62</v>
      </c>
      <c r="G176" s="4">
        <v>18</v>
      </c>
      <c r="H176" s="8">
        <v>1.99</v>
      </c>
      <c r="I176" s="4">
        <v>0</v>
      </c>
    </row>
    <row r="177" spans="1:9" x14ac:dyDescent="0.2">
      <c r="A177" s="2">
        <v>16</v>
      </c>
      <c r="B177" s="1" t="s">
        <v>157</v>
      </c>
      <c r="C177" s="4">
        <v>20</v>
      </c>
      <c r="D177" s="8">
        <v>1.43</v>
      </c>
      <c r="E177" s="4">
        <v>0</v>
      </c>
      <c r="F177" s="8">
        <v>0</v>
      </c>
      <c r="G177" s="4">
        <v>20</v>
      </c>
      <c r="H177" s="8">
        <v>2.21</v>
      </c>
      <c r="I177" s="4">
        <v>0</v>
      </c>
    </row>
    <row r="178" spans="1:9" x14ac:dyDescent="0.2">
      <c r="A178" s="2">
        <v>16</v>
      </c>
      <c r="B178" s="1" t="s">
        <v>178</v>
      </c>
      <c r="C178" s="4">
        <v>20</v>
      </c>
      <c r="D178" s="8">
        <v>1.43</v>
      </c>
      <c r="E178" s="4">
        <v>3</v>
      </c>
      <c r="F178" s="8">
        <v>0.62</v>
      </c>
      <c r="G178" s="4">
        <v>17</v>
      </c>
      <c r="H178" s="8">
        <v>1.88</v>
      </c>
      <c r="I178" s="4">
        <v>0</v>
      </c>
    </row>
    <row r="179" spans="1:9" x14ac:dyDescent="0.2">
      <c r="A179" s="2">
        <v>18</v>
      </c>
      <c r="B179" s="1" t="s">
        <v>181</v>
      </c>
      <c r="C179" s="4">
        <v>16</v>
      </c>
      <c r="D179" s="8">
        <v>1.1499999999999999</v>
      </c>
      <c r="E179" s="4">
        <v>2</v>
      </c>
      <c r="F179" s="8">
        <v>0.41</v>
      </c>
      <c r="G179" s="4">
        <v>14</v>
      </c>
      <c r="H179" s="8">
        <v>1.55</v>
      </c>
      <c r="I179" s="4">
        <v>0</v>
      </c>
    </row>
    <row r="180" spans="1:9" x14ac:dyDescent="0.2">
      <c r="A180" s="2">
        <v>18</v>
      </c>
      <c r="B180" s="1" t="s">
        <v>176</v>
      </c>
      <c r="C180" s="4">
        <v>16</v>
      </c>
      <c r="D180" s="8">
        <v>1.1499999999999999</v>
      </c>
      <c r="E180" s="4">
        <v>5</v>
      </c>
      <c r="F180" s="8">
        <v>1.04</v>
      </c>
      <c r="G180" s="4">
        <v>11</v>
      </c>
      <c r="H180" s="8">
        <v>1.21</v>
      </c>
      <c r="I180" s="4">
        <v>0</v>
      </c>
    </row>
    <row r="181" spans="1:9" x14ac:dyDescent="0.2">
      <c r="A181" s="2">
        <v>20</v>
      </c>
      <c r="B181" s="1" t="s">
        <v>197</v>
      </c>
      <c r="C181" s="4">
        <v>15</v>
      </c>
      <c r="D181" s="8">
        <v>1.08</v>
      </c>
      <c r="E181" s="4">
        <v>5</v>
      </c>
      <c r="F181" s="8">
        <v>1.04</v>
      </c>
      <c r="G181" s="4">
        <v>10</v>
      </c>
      <c r="H181" s="8">
        <v>1.1000000000000001</v>
      </c>
      <c r="I181" s="4">
        <v>0</v>
      </c>
    </row>
    <row r="182" spans="1:9" x14ac:dyDescent="0.2">
      <c r="A182" s="1"/>
      <c r="C182" s="4"/>
      <c r="D182" s="8"/>
      <c r="E182" s="4"/>
      <c r="F182" s="8"/>
      <c r="G182" s="4"/>
      <c r="H182" s="8"/>
      <c r="I182" s="4"/>
    </row>
    <row r="183" spans="1:9" x14ac:dyDescent="0.2">
      <c r="A183" s="1" t="s">
        <v>8</v>
      </c>
      <c r="C183" s="4"/>
      <c r="D183" s="8"/>
      <c r="E183" s="4"/>
      <c r="F183" s="8"/>
      <c r="G183" s="4"/>
      <c r="H183" s="8"/>
      <c r="I183" s="4"/>
    </row>
    <row r="184" spans="1:9" x14ac:dyDescent="0.2">
      <c r="A184" s="2">
        <v>1</v>
      </c>
      <c r="B184" s="1" t="s">
        <v>167</v>
      </c>
      <c r="C184" s="4">
        <v>141</v>
      </c>
      <c r="D184" s="8">
        <v>4.8499999999999996</v>
      </c>
      <c r="E184" s="4">
        <v>35</v>
      </c>
      <c r="F184" s="8">
        <v>3.09</v>
      </c>
      <c r="G184" s="4">
        <v>106</v>
      </c>
      <c r="H184" s="8">
        <v>6.03</v>
      </c>
      <c r="I184" s="4">
        <v>0</v>
      </c>
    </row>
    <row r="185" spans="1:9" x14ac:dyDescent="0.2">
      <c r="A185" s="2">
        <v>2</v>
      </c>
      <c r="B185" s="1" t="s">
        <v>173</v>
      </c>
      <c r="C185" s="4">
        <v>125</v>
      </c>
      <c r="D185" s="8">
        <v>4.3</v>
      </c>
      <c r="E185" s="4">
        <v>84</v>
      </c>
      <c r="F185" s="8">
        <v>7.42</v>
      </c>
      <c r="G185" s="4">
        <v>41</v>
      </c>
      <c r="H185" s="8">
        <v>2.33</v>
      </c>
      <c r="I185" s="4">
        <v>0</v>
      </c>
    </row>
    <row r="186" spans="1:9" x14ac:dyDescent="0.2">
      <c r="A186" s="2">
        <v>3</v>
      </c>
      <c r="B186" s="1" t="s">
        <v>175</v>
      </c>
      <c r="C186" s="4">
        <v>122</v>
      </c>
      <c r="D186" s="8">
        <v>4.1900000000000004</v>
      </c>
      <c r="E186" s="4">
        <v>96</v>
      </c>
      <c r="F186" s="8">
        <v>8.48</v>
      </c>
      <c r="G186" s="4">
        <v>26</v>
      </c>
      <c r="H186" s="8">
        <v>1.48</v>
      </c>
      <c r="I186" s="4">
        <v>0</v>
      </c>
    </row>
    <row r="187" spans="1:9" x14ac:dyDescent="0.2">
      <c r="A187" s="2">
        <v>4</v>
      </c>
      <c r="B187" s="1" t="s">
        <v>174</v>
      </c>
      <c r="C187" s="4">
        <v>99</v>
      </c>
      <c r="D187" s="8">
        <v>3.4</v>
      </c>
      <c r="E187" s="4">
        <v>64</v>
      </c>
      <c r="F187" s="8">
        <v>5.65</v>
      </c>
      <c r="G187" s="4">
        <v>35</v>
      </c>
      <c r="H187" s="8">
        <v>1.99</v>
      </c>
      <c r="I187" s="4">
        <v>0</v>
      </c>
    </row>
    <row r="188" spans="1:9" x14ac:dyDescent="0.2">
      <c r="A188" s="2">
        <v>5</v>
      </c>
      <c r="B188" s="1" t="s">
        <v>168</v>
      </c>
      <c r="C188" s="4">
        <v>87</v>
      </c>
      <c r="D188" s="8">
        <v>2.99</v>
      </c>
      <c r="E188" s="4">
        <v>2</v>
      </c>
      <c r="F188" s="8">
        <v>0.18</v>
      </c>
      <c r="G188" s="4">
        <v>84</v>
      </c>
      <c r="H188" s="8">
        <v>4.78</v>
      </c>
      <c r="I188" s="4">
        <v>1</v>
      </c>
    </row>
    <row r="189" spans="1:9" x14ac:dyDescent="0.2">
      <c r="A189" s="2">
        <v>6</v>
      </c>
      <c r="B189" s="1" t="s">
        <v>166</v>
      </c>
      <c r="C189" s="4">
        <v>84</v>
      </c>
      <c r="D189" s="8">
        <v>2.89</v>
      </c>
      <c r="E189" s="4">
        <v>14</v>
      </c>
      <c r="F189" s="8">
        <v>1.24</v>
      </c>
      <c r="G189" s="4">
        <v>70</v>
      </c>
      <c r="H189" s="8">
        <v>3.98</v>
      </c>
      <c r="I189" s="4">
        <v>0</v>
      </c>
    </row>
    <row r="190" spans="1:9" x14ac:dyDescent="0.2">
      <c r="A190" s="2">
        <v>7</v>
      </c>
      <c r="B190" s="1" t="s">
        <v>169</v>
      </c>
      <c r="C190" s="4">
        <v>83</v>
      </c>
      <c r="D190" s="8">
        <v>2.85</v>
      </c>
      <c r="E190" s="4">
        <v>59</v>
      </c>
      <c r="F190" s="8">
        <v>5.21</v>
      </c>
      <c r="G190" s="4">
        <v>24</v>
      </c>
      <c r="H190" s="8">
        <v>1.36</v>
      </c>
      <c r="I190" s="4">
        <v>0</v>
      </c>
    </row>
    <row r="191" spans="1:9" x14ac:dyDescent="0.2">
      <c r="A191" s="2">
        <v>7</v>
      </c>
      <c r="B191" s="1" t="s">
        <v>170</v>
      </c>
      <c r="C191" s="4">
        <v>83</v>
      </c>
      <c r="D191" s="8">
        <v>2.85</v>
      </c>
      <c r="E191" s="4">
        <v>60</v>
      </c>
      <c r="F191" s="8">
        <v>5.3</v>
      </c>
      <c r="G191" s="4">
        <v>23</v>
      </c>
      <c r="H191" s="8">
        <v>1.31</v>
      </c>
      <c r="I191" s="4">
        <v>0</v>
      </c>
    </row>
    <row r="192" spans="1:9" x14ac:dyDescent="0.2">
      <c r="A192" s="2">
        <v>9</v>
      </c>
      <c r="B192" s="1" t="s">
        <v>165</v>
      </c>
      <c r="C192" s="4">
        <v>81</v>
      </c>
      <c r="D192" s="8">
        <v>2.78</v>
      </c>
      <c r="E192" s="4">
        <v>6</v>
      </c>
      <c r="F192" s="8">
        <v>0.53</v>
      </c>
      <c r="G192" s="4">
        <v>75</v>
      </c>
      <c r="H192" s="8">
        <v>4.26</v>
      </c>
      <c r="I192" s="4">
        <v>0</v>
      </c>
    </row>
    <row r="193" spans="1:9" x14ac:dyDescent="0.2">
      <c r="A193" s="2">
        <v>10</v>
      </c>
      <c r="B193" s="1" t="s">
        <v>198</v>
      </c>
      <c r="C193" s="4">
        <v>67</v>
      </c>
      <c r="D193" s="8">
        <v>2.2999999999999998</v>
      </c>
      <c r="E193" s="4">
        <v>64</v>
      </c>
      <c r="F193" s="8">
        <v>5.65</v>
      </c>
      <c r="G193" s="4">
        <v>3</v>
      </c>
      <c r="H193" s="8">
        <v>0.17</v>
      </c>
      <c r="I193" s="4">
        <v>0</v>
      </c>
    </row>
    <row r="194" spans="1:9" x14ac:dyDescent="0.2">
      <c r="A194" s="2">
        <v>10</v>
      </c>
      <c r="B194" s="1" t="s">
        <v>172</v>
      </c>
      <c r="C194" s="4">
        <v>67</v>
      </c>
      <c r="D194" s="8">
        <v>2.2999999999999998</v>
      </c>
      <c r="E194" s="4">
        <v>51</v>
      </c>
      <c r="F194" s="8">
        <v>4.51</v>
      </c>
      <c r="G194" s="4">
        <v>16</v>
      </c>
      <c r="H194" s="8">
        <v>0.91</v>
      </c>
      <c r="I194" s="4">
        <v>0</v>
      </c>
    </row>
    <row r="195" spans="1:9" x14ac:dyDescent="0.2">
      <c r="A195" s="2">
        <v>12</v>
      </c>
      <c r="B195" s="1" t="s">
        <v>164</v>
      </c>
      <c r="C195" s="4">
        <v>63</v>
      </c>
      <c r="D195" s="8">
        <v>2.16</v>
      </c>
      <c r="E195" s="4">
        <v>30</v>
      </c>
      <c r="F195" s="8">
        <v>2.65</v>
      </c>
      <c r="G195" s="4">
        <v>33</v>
      </c>
      <c r="H195" s="8">
        <v>1.88</v>
      </c>
      <c r="I195" s="4">
        <v>0</v>
      </c>
    </row>
    <row r="196" spans="1:9" x14ac:dyDescent="0.2">
      <c r="A196" s="2">
        <v>13</v>
      </c>
      <c r="B196" s="1" t="s">
        <v>171</v>
      </c>
      <c r="C196" s="4">
        <v>61</v>
      </c>
      <c r="D196" s="8">
        <v>2.1</v>
      </c>
      <c r="E196" s="4">
        <v>26</v>
      </c>
      <c r="F196" s="8">
        <v>2.2999999999999998</v>
      </c>
      <c r="G196" s="4">
        <v>35</v>
      </c>
      <c r="H196" s="8">
        <v>1.99</v>
      </c>
      <c r="I196" s="4">
        <v>0</v>
      </c>
    </row>
    <row r="197" spans="1:9" x14ac:dyDescent="0.2">
      <c r="A197" s="2">
        <v>14</v>
      </c>
      <c r="B197" s="1" t="s">
        <v>178</v>
      </c>
      <c r="C197" s="4">
        <v>60</v>
      </c>
      <c r="D197" s="8">
        <v>2.06</v>
      </c>
      <c r="E197" s="4">
        <v>6</v>
      </c>
      <c r="F197" s="8">
        <v>0.53</v>
      </c>
      <c r="G197" s="4">
        <v>54</v>
      </c>
      <c r="H197" s="8">
        <v>3.07</v>
      </c>
      <c r="I197" s="4">
        <v>0</v>
      </c>
    </row>
    <row r="198" spans="1:9" x14ac:dyDescent="0.2">
      <c r="A198" s="2">
        <v>15</v>
      </c>
      <c r="B198" s="1" t="s">
        <v>195</v>
      </c>
      <c r="C198" s="4">
        <v>55</v>
      </c>
      <c r="D198" s="8">
        <v>1.89</v>
      </c>
      <c r="E198" s="4">
        <v>52</v>
      </c>
      <c r="F198" s="8">
        <v>4.59</v>
      </c>
      <c r="G198" s="4">
        <v>3</v>
      </c>
      <c r="H198" s="8">
        <v>0.17</v>
      </c>
      <c r="I198" s="4">
        <v>0</v>
      </c>
    </row>
    <row r="199" spans="1:9" x14ac:dyDescent="0.2">
      <c r="A199" s="2">
        <v>16</v>
      </c>
      <c r="B199" s="1" t="s">
        <v>186</v>
      </c>
      <c r="C199" s="4">
        <v>50</v>
      </c>
      <c r="D199" s="8">
        <v>1.72</v>
      </c>
      <c r="E199" s="4">
        <v>9</v>
      </c>
      <c r="F199" s="8">
        <v>0.8</v>
      </c>
      <c r="G199" s="4">
        <v>41</v>
      </c>
      <c r="H199" s="8">
        <v>2.33</v>
      </c>
      <c r="I199" s="4">
        <v>0</v>
      </c>
    </row>
    <row r="200" spans="1:9" x14ac:dyDescent="0.2">
      <c r="A200" s="2">
        <v>17</v>
      </c>
      <c r="B200" s="1" t="s">
        <v>179</v>
      </c>
      <c r="C200" s="4">
        <v>46</v>
      </c>
      <c r="D200" s="8">
        <v>1.58</v>
      </c>
      <c r="E200" s="4">
        <v>21</v>
      </c>
      <c r="F200" s="8">
        <v>1.86</v>
      </c>
      <c r="G200" s="4">
        <v>25</v>
      </c>
      <c r="H200" s="8">
        <v>1.42</v>
      </c>
      <c r="I200" s="4">
        <v>0</v>
      </c>
    </row>
    <row r="201" spans="1:9" x14ac:dyDescent="0.2">
      <c r="A201" s="2">
        <v>18</v>
      </c>
      <c r="B201" s="1" t="s">
        <v>162</v>
      </c>
      <c r="C201" s="4">
        <v>43</v>
      </c>
      <c r="D201" s="8">
        <v>1.48</v>
      </c>
      <c r="E201" s="4">
        <v>12</v>
      </c>
      <c r="F201" s="8">
        <v>1.06</v>
      </c>
      <c r="G201" s="4">
        <v>30</v>
      </c>
      <c r="H201" s="8">
        <v>1.71</v>
      </c>
      <c r="I201" s="4">
        <v>1</v>
      </c>
    </row>
    <row r="202" spans="1:9" x14ac:dyDescent="0.2">
      <c r="A202" s="2">
        <v>19</v>
      </c>
      <c r="B202" s="1" t="s">
        <v>185</v>
      </c>
      <c r="C202" s="4">
        <v>42</v>
      </c>
      <c r="D202" s="8">
        <v>1.44</v>
      </c>
      <c r="E202" s="4">
        <v>17</v>
      </c>
      <c r="F202" s="8">
        <v>1.5</v>
      </c>
      <c r="G202" s="4">
        <v>25</v>
      </c>
      <c r="H202" s="8">
        <v>1.42</v>
      </c>
      <c r="I202" s="4">
        <v>0</v>
      </c>
    </row>
    <row r="203" spans="1:9" x14ac:dyDescent="0.2">
      <c r="A203" s="2">
        <v>20</v>
      </c>
      <c r="B203" s="1" t="s">
        <v>192</v>
      </c>
      <c r="C203" s="4">
        <v>39</v>
      </c>
      <c r="D203" s="8">
        <v>1.34</v>
      </c>
      <c r="E203" s="4">
        <v>29</v>
      </c>
      <c r="F203" s="8">
        <v>2.56</v>
      </c>
      <c r="G203" s="4">
        <v>10</v>
      </c>
      <c r="H203" s="8">
        <v>0.56999999999999995</v>
      </c>
      <c r="I203" s="4">
        <v>0</v>
      </c>
    </row>
    <row r="204" spans="1:9" x14ac:dyDescent="0.2">
      <c r="A204" s="1"/>
      <c r="C204" s="4"/>
      <c r="D204" s="8"/>
      <c r="E204" s="4"/>
      <c r="F204" s="8"/>
      <c r="G204" s="4"/>
      <c r="H204" s="8"/>
      <c r="I204" s="4"/>
    </row>
    <row r="205" spans="1:9" x14ac:dyDescent="0.2">
      <c r="A205" s="1" t="s">
        <v>9</v>
      </c>
      <c r="C205" s="4"/>
      <c r="D205" s="8"/>
      <c r="E205" s="4"/>
      <c r="F205" s="8"/>
      <c r="G205" s="4"/>
      <c r="H205" s="8"/>
      <c r="I205" s="4"/>
    </row>
    <row r="206" spans="1:9" x14ac:dyDescent="0.2">
      <c r="A206" s="2">
        <v>1</v>
      </c>
      <c r="B206" s="1" t="s">
        <v>167</v>
      </c>
      <c r="C206" s="4">
        <v>175</v>
      </c>
      <c r="D206" s="8">
        <v>6.91</v>
      </c>
      <c r="E206" s="4">
        <v>45</v>
      </c>
      <c r="F206" s="8">
        <v>5.65</v>
      </c>
      <c r="G206" s="4">
        <v>130</v>
      </c>
      <c r="H206" s="8">
        <v>7.54</v>
      </c>
      <c r="I206" s="4">
        <v>0</v>
      </c>
    </row>
    <row r="207" spans="1:9" x14ac:dyDescent="0.2">
      <c r="A207" s="2">
        <v>2</v>
      </c>
      <c r="B207" s="1" t="s">
        <v>173</v>
      </c>
      <c r="C207" s="4">
        <v>115</v>
      </c>
      <c r="D207" s="8">
        <v>4.54</v>
      </c>
      <c r="E207" s="4">
        <v>85</v>
      </c>
      <c r="F207" s="8">
        <v>10.68</v>
      </c>
      <c r="G207" s="4">
        <v>30</v>
      </c>
      <c r="H207" s="8">
        <v>1.74</v>
      </c>
      <c r="I207" s="4">
        <v>0</v>
      </c>
    </row>
    <row r="208" spans="1:9" x14ac:dyDescent="0.2">
      <c r="A208" s="2">
        <v>3</v>
      </c>
      <c r="B208" s="1" t="s">
        <v>168</v>
      </c>
      <c r="C208" s="4">
        <v>95</v>
      </c>
      <c r="D208" s="8">
        <v>3.75</v>
      </c>
      <c r="E208" s="4">
        <v>1</v>
      </c>
      <c r="F208" s="8">
        <v>0.13</v>
      </c>
      <c r="G208" s="4">
        <v>94</v>
      </c>
      <c r="H208" s="8">
        <v>5.45</v>
      </c>
      <c r="I208" s="4">
        <v>0</v>
      </c>
    </row>
    <row r="209" spans="1:9" x14ac:dyDescent="0.2">
      <c r="A209" s="2">
        <v>4</v>
      </c>
      <c r="B209" s="1" t="s">
        <v>175</v>
      </c>
      <c r="C209" s="4">
        <v>85</v>
      </c>
      <c r="D209" s="8">
        <v>3.36</v>
      </c>
      <c r="E209" s="4">
        <v>74</v>
      </c>
      <c r="F209" s="8">
        <v>9.3000000000000007</v>
      </c>
      <c r="G209" s="4">
        <v>11</v>
      </c>
      <c r="H209" s="8">
        <v>0.64</v>
      </c>
      <c r="I209" s="4">
        <v>0</v>
      </c>
    </row>
    <row r="210" spans="1:9" x14ac:dyDescent="0.2">
      <c r="A210" s="2">
        <v>5</v>
      </c>
      <c r="B210" s="1" t="s">
        <v>174</v>
      </c>
      <c r="C210" s="4">
        <v>79</v>
      </c>
      <c r="D210" s="8">
        <v>3.12</v>
      </c>
      <c r="E210" s="4">
        <v>53</v>
      </c>
      <c r="F210" s="8">
        <v>6.66</v>
      </c>
      <c r="G210" s="4">
        <v>26</v>
      </c>
      <c r="H210" s="8">
        <v>1.51</v>
      </c>
      <c r="I210" s="4">
        <v>0</v>
      </c>
    </row>
    <row r="211" spans="1:9" x14ac:dyDescent="0.2">
      <c r="A211" s="2">
        <v>6</v>
      </c>
      <c r="B211" s="1" t="s">
        <v>166</v>
      </c>
      <c r="C211" s="4">
        <v>71</v>
      </c>
      <c r="D211" s="8">
        <v>2.8</v>
      </c>
      <c r="E211" s="4">
        <v>3</v>
      </c>
      <c r="F211" s="8">
        <v>0.38</v>
      </c>
      <c r="G211" s="4">
        <v>68</v>
      </c>
      <c r="H211" s="8">
        <v>3.94</v>
      </c>
      <c r="I211" s="4">
        <v>0</v>
      </c>
    </row>
    <row r="212" spans="1:9" x14ac:dyDescent="0.2">
      <c r="A212" s="2">
        <v>7</v>
      </c>
      <c r="B212" s="1" t="s">
        <v>178</v>
      </c>
      <c r="C212" s="4">
        <v>61</v>
      </c>
      <c r="D212" s="8">
        <v>2.41</v>
      </c>
      <c r="E212" s="4">
        <v>11</v>
      </c>
      <c r="F212" s="8">
        <v>1.38</v>
      </c>
      <c r="G212" s="4">
        <v>49</v>
      </c>
      <c r="H212" s="8">
        <v>2.84</v>
      </c>
      <c r="I212" s="4">
        <v>0</v>
      </c>
    </row>
    <row r="213" spans="1:9" x14ac:dyDescent="0.2">
      <c r="A213" s="2">
        <v>8</v>
      </c>
      <c r="B213" s="1" t="s">
        <v>172</v>
      </c>
      <c r="C213" s="4">
        <v>57</v>
      </c>
      <c r="D213" s="8">
        <v>2.25</v>
      </c>
      <c r="E213" s="4">
        <v>54</v>
      </c>
      <c r="F213" s="8">
        <v>6.78</v>
      </c>
      <c r="G213" s="4">
        <v>3</v>
      </c>
      <c r="H213" s="8">
        <v>0.17</v>
      </c>
      <c r="I213" s="4">
        <v>0</v>
      </c>
    </row>
    <row r="214" spans="1:9" x14ac:dyDescent="0.2">
      <c r="A214" s="2">
        <v>9</v>
      </c>
      <c r="B214" s="1" t="s">
        <v>165</v>
      </c>
      <c r="C214" s="4">
        <v>55</v>
      </c>
      <c r="D214" s="8">
        <v>2.17</v>
      </c>
      <c r="E214" s="4">
        <v>1</v>
      </c>
      <c r="F214" s="8">
        <v>0.13</v>
      </c>
      <c r="G214" s="4">
        <v>54</v>
      </c>
      <c r="H214" s="8">
        <v>3.13</v>
      </c>
      <c r="I214" s="4">
        <v>0</v>
      </c>
    </row>
    <row r="215" spans="1:9" x14ac:dyDescent="0.2">
      <c r="A215" s="2">
        <v>10</v>
      </c>
      <c r="B215" s="1" t="s">
        <v>170</v>
      </c>
      <c r="C215" s="4">
        <v>49</v>
      </c>
      <c r="D215" s="8">
        <v>1.93</v>
      </c>
      <c r="E215" s="4">
        <v>43</v>
      </c>
      <c r="F215" s="8">
        <v>5.4</v>
      </c>
      <c r="G215" s="4">
        <v>6</v>
      </c>
      <c r="H215" s="8">
        <v>0.35</v>
      </c>
      <c r="I215" s="4">
        <v>0</v>
      </c>
    </row>
    <row r="216" spans="1:9" x14ac:dyDescent="0.2">
      <c r="A216" s="2">
        <v>11</v>
      </c>
      <c r="B216" s="1" t="s">
        <v>169</v>
      </c>
      <c r="C216" s="4">
        <v>46</v>
      </c>
      <c r="D216" s="8">
        <v>1.82</v>
      </c>
      <c r="E216" s="4">
        <v>31</v>
      </c>
      <c r="F216" s="8">
        <v>3.89</v>
      </c>
      <c r="G216" s="4">
        <v>15</v>
      </c>
      <c r="H216" s="8">
        <v>0.87</v>
      </c>
      <c r="I216" s="4">
        <v>0</v>
      </c>
    </row>
    <row r="217" spans="1:9" x14ac:dyDescent="0.2">
      <c r="A217" s="2">
        <v>12</v>
      </c>
      <c r="B217" s="1" t="s">
        <v>171</v>
      </c>
      <c r="C217" s="4">
        <v>45</v>
      </c>
      <c r="D217" s="8">
        <v>1.78</v>
      </c>
      <c r="E217" s="4">
        <v>24</v>
      </c>
      <c r="F217" s="8">
        <v>3.02</v>
      </c>
      <c r="G217" s="4">
        <v>21</v>
      </c>
      <c r="H217" s="8">
        <v>1.22</v>
      </c>
      <c r="I217" s="4">
        <v>0</v>
      </c>
    </row>
    <row r="218" spans="1:9" x14ac:dyDescent="0.2">
      <c r="A218" s="2">
        <v>13</v>
      </c>
      <c r="B218" s="1" t="s">
        <v>158</v>
      </c>
      <c r="C218" s="4">
        <v>44</v>
      </c>
      <c r="D218" s="8">
        <v>1.74</v>
      </c>
      <c r="E218" s="4">
        <v>4</v>
      </c>
      <c r="F218" s="8">
        <v>0.5</v>
      </c>
      <c r="G218" s="4">
        <v>40</v>
      </c>
      <c r="H218" s="8">
        <v>2.3199999999999998</v>
      </c>
      <c r="I218" s="4">
        <v>0</v>
      </c>
    </row>
    <row r="219" spans="1:9" x14ac:dyDescent="0.2">
      <c r="A219" s="2">
        <v>14</v>
      </c>
      <c r="B219" s="1" t="s">
        <v>179</v>
      </c>
      <c r="C219" s="4">
        <v>42</v>
      </c>
      <c r="D219" s="8">
        <v>1.66</v>
      </c>
      <c r="E219" s="4">
        <v>16</v>
      </c>
      <c r="F219" s="8">
        <v>2.0099999999999998</v>
      </c>
      <c r="G219" s="4">
        <v>26</v>
      </c>
      <c r="H219" s="8">
        <v>1.51</v>
      </c>
      <c r="I219" s="4">
        <v>0</v>
      </c>
    </row>
    <row r="220" spans="1:9" x14ac:dyDescent="0.2">
      <c r="A220" s="2">
        <v>15</v>
      </c>
      <c r="B220" s="1" t="s">
        <v>177</v>
      </c>
      <c r="C220" s="4">
        <v>41</v>
      </c>
      <c r="D220" s="8">
        <v>1.62</v>
      </c>
      <c r="E220" s="4">
        <v>5</v>
      </c>
      <c r="F220" s="8">
        <v>0.63</v>
      </c>
      <c r="G220" s="4">
        <v>36</v>
      </c>
      <c r="H220" s="8">
        <v>2.09</v>
      </c>
      <c r="I220" s="4">
        <v>0</v>
      </c>
    </row>
    <row r="221" spans="1:9" x14ac:dyDescent="0.2">
      <c r="A221" s="2">
        <v>15</v>
      </c>
      <c r="B221" s="1" t="s">
        <v>160</v>
      </c>
      <c r="C221" s="4">
        <v>41</v>
      </c>
      <c r="D221" s="8">
        <v>1.62</v>
      </c>
      <c r="E221" s="4">
        <v>6</v>
      </c>
      <c r="F221" s="8">
        <v>0.75</v>
      </c>
      <c r="G221" s="4">
        <v>35</v>
      </c>
      <c r="H221" s="8">
        <v>2.0299999999999998</v>
      </c>
      <c r="I221" s="4">
        <v>0</v>
      </c>
    </row>
    <row r="222" spans="1:9" x14ac:dyDescent="0.2">
      <c r="A222" s="2">
        <v>17</v>
      </c>
      <c r="B222" s="1" t="s">
        <v>199</v>
      </c>
      <c r="C222" s="4">
        <v>38</v>
      </c>
      <c r="D222" s="8">
        <v>1.5</v>
      </c>
      <c r="E222" s="4">
        <v>2</v>
      </c>
      <c r="F222" s="8">
        <v>0.25</v>
      </c>
      <c r="G222" s="4">
        <v>36</v>
      </c>
      <c r="H222" s="8">
        <v>2.09</v>
      </c>
      <c r="I222" s="4">
        <v>0</v>
      </c>
    </row>
    <row r="223" spans="1:9" x14ac:dyDescent="0.2">
      <c r="A223" s="2">
        <v>18</v>
      </c>
      <c r="B223" s="1" t="s">
        <v>193</v>
      </c>
      <c r="C223" s="4">
        <v>37</v>
      </c>
      <c r="D223" s="8">
        <v>1.46</v>
      </c>
      <c r="E223" s="4">
        <v>1</v>
      </c>
      <c r="F223" s="8">
        <v>0.13</v>
      </c>
      <c r="G223" s="4">
        <v>36</v>
      </c>
      <c r="H223" s="8">
        <v>2.09</v>
      </c>
      <c r="I223" s="4">
        <v>0</v>
      </c>
    </row>
    <row r="224" spans="1:9" x14ac:dyDescent="0.2">
      <c r="A224" s="2">
        <v>19</v>
      </c>
      <c r="B224" s="1" t="s">
        <v>161</v>
      </c>
      <c r="C224" s="4">
        <v>33</v>
      </c>
      <c r="D224" s="8">
        <v>1.3</v>
      </c>
      <c r="E224" s="4">
        <v>2</v>
      </c>
      <c r="F224" s="8">
        <v>0.25</v>
      </c>
      <c r="G224" s="4">
        <v>31</v>
      </c>
      <c r="H224" s="8">
        <v>1.8</v>
      </c>
      <c r="I224" s="4">
        <v>0</v>
      </c>
    </row>
    <row r="225" spans="1:9" x14ac:dyDescent="0.2">
      <c r="A225" s="2">
        <v>20</v>
      </c>
      <c r="B225" s="1" t="s">
        <v>197</v>
      </c>
      <c r="C225" s="4">
        <v>31</v>
      </c>
      <c r="D225" s="8">
        <v>1.22</v>
      </c>
      <c r="E225" s="4">
        <v>4</v>
      </c>
      <c r="F225" s="8">
        <v>0.5</v>
      </c>
      <c r="G225" s="4">
        <v>27</v>
      </c>
      <c r="H225" s="8">
        <v>1.57</v>
      </c>
      <c r="I225" s="4">
        <v>0</v>
      </c>
    </row>
    <row r="226" spans="1:9" x14ac:dyDescent="0.2">
      <c r="A226" s="1"/>
      <c r="C226" s="4"/>
      <c r="D226" s="8"/>
      <c r="E226" s="4"/>
      <c r="F226" s="8"/>
      <c r="G226" s="4"/>
      <c r="H226" s="8"/>
      <c r="I226" s="4"/>
    </row>
    <row r="227" spans="1:9" x14ac:dyDescent="0.2">
      <c r="A227" s="1" t="s">
        <v>10</v>
      </c>
      <c r="C227" s="4"/>
      <c r="D227" s="8"/>
      <c r="E227" s="4"/>
      <c r="F227" s="8"/>
      <c r="G227" s="4"/>
      <c r="H227" s="8"/>
      <c r="I227" s="4"/>
    </row>
    <row r="228" spans="1:9" x14ac:dyDescent="0.2">
      <c r="A228" s="2">
        <v>1</v>
      </c>
      <c r="B228" s="1" t="s">
        <v>167</v>
      </c>
      <c r="C228" s="4">
        <v>80</v>
      </c>
      <c r="D228" s="8">
        <v>5.13</v>
      </c>
      <c r="E228" s="4">
        <v>18</v>
      </c>
      <c r="F228" s="8">
        <v>3.68</v>
      </c>
      <c r="G228" s="4">
        <v>62</v>
      </c>
      <c r="H228" s="8">
        <v>5.82</v>
      </c>
      <c r="I228" s="4">
        <v>0</v>
      </c>
    </row>
    <row r="229" spans="1:9" x14ac:dyDescent="0.2">
      <c r="A229" s="2">
        <v>2</v>
      </c>
      <c r="B229" s="1" t="s">
        <v>173</v>
      </c>
      <c r="C229" s="4">
        <v>50</v>
      </c>
      <c r="D229" s="8">
        <v>3.21</v>
      </c>
      <c r="E229" s="4">
        <v>37</v>
      </c>
      <c r="F229" s="8">
        <v>7.57</v>
      </c>
      <c r="G229" s="4">
        <v>13</v>
      </c>
      <c r="H229" s="8">
        <v>1.22</v>
      </c>
      <c r="I229" s="4">
        <v>0</v>
      </c>
    </row>
    <row r="230" spans="1:9" x14ac:dyDescent="0.2">
      <c r="A230" s="2">
        <v>3</v>
      </c>
      <c r="B230" s="1" t="s">
        <v>174</v>
      </c>
      <c r="C230" s="4">
        <v>45</v>
      </c>
      <c r="D230" s="8">
        <v>2.89</v>
      </c>
      <c r="E230" s="4">
        <v>33</v>
      </c>
      <c r="F230" s="8">
        <v>6.75</v>
      </c>
      <c r="G230" s="4">
        <v>12</v>
      </c>
      <c r="H230" s="8">
        <v>1.1299999999999999</v>
      </c>
      <c r="I230" s="4">
        <v>0</v>
      </c>
    </row>
    <row r="231" spans="1:9" x14ac:dyDescent="0.2">
      <c r="A231" s="2">
        <v>4</v>
      </c>
      <c r="B231" s="1" t="s">
        <v>175</v>
      </c>
      <c r="C231" s="4">
        <v>37</v>
      </c>
      <c r="D231" s="8">
        <v>2.37</v>
      </c>
      <c r="E231" s="4">
        <v>34</v>
      </c>
      <c r="F231" s="8">
        <v>6.95</v>
      </c>
      <c r="G231" s="4">
        <v>3</v>
      </c>
      <c r="H231" s="8">
        <v>0.28000000000000003</v>
      </c>
      <c r="I231" s="4">
        <v>0</v>
      </c>
    </row>
    <row r="232" spans="1:9" x14ac:dyDescent="0.2">
      <c r="A232" s="2">
        <v>5</v>
      </c>
      <c r="B232" s="1" t="s">
        <v>172</v>
      </c>
      <c r="C232" s="4">
        <v>35</v>
      </c>
      <c r="D232" s="8">
        <v>2.25</v>
      </c>
      <c r="E232" s="4">
        <v>33</v>
      </c>
      <c r="F232" s="8">
        <v>6.75</v>
      </c>
      <c r="G232" s="4">
        <v>2</v>
      </c>
      <c r="H232" s="8">
        <v>0.19</v>
      </c>
      <c r="I232" s="4">
        <v>0</v>
      </c>
    </row>
    <row r="233" spans="1:9" x14ac:dyDescent="0.2">
      <c r="A233" s="2">
        <v>6</v>
      </c>
      <c r="B233" s="1" t="s">
        <v>164</v>
      </c>
      <c r="C233" s="4">
        <v>33</v>
      </c>
      <c r="D233" s="8">
        <v>2.12</v>
      </c>
      <c r="E233" s="4">
        <v>12</v>
      </c>
      <c r="F233" s="8">
        <v>2.4500000000000002</v>
      </c>
      <c r="G233" s="4">
        <v>21</v>
      </c>
      <c r="H233" s="8">
        <v>1.97</v>
      </c>
      <c r="I233" s="4">
        <v>0</v>
      </c>
    </row>
    <row r="234" spans="1:9" x14ac:dyDescent="0.2">
      <c r="A234" s="2">
        <v>7</v>
      </c>
      <c r="B234" s="1" t="s">
        <v>158</v>
      </c>
      <c r="C234" s="4">
        <v>32</v>
      </c>
      <c r="D234" s="8">
        <v>2.0499999999999998</v>
      </c>
      <c r="E234" s="4">
        <v>3</v>
      </c>
      <c r="F234" s="8">
        <v>0.61</v>
      </c>
      <c r="G234" s="4">
        <v>29</v>
      </c>
      <c r="H234" s="8">
        <v>2.72</v>
      </c>
      <c r="I234" s="4">
        <v>0</v>
      </c>
    </row>
    <row r="235" spans="1:9" x14ac:dyDescent="0.2">
      <c r="A235" s="2">
        <v>7</v>
      </c>
      <c r="B235" s="1" t="s">
        <v>165</v>
      </c>
      <c r="C235" s="4">
        <v>32</v>
      </c>
      <c r="D235" s="8">
        <v>2.0499999999999998</v>
      </c>
      <c r="E235" s="4">
        <v>4</v>
      </c>
      <c r="F235" s="8">
        <v>0.82</v>
      </c>
      <c r="G235" s="4">
        <v>28</v>
      </c>
      <c r="H235" s="8">
        <v>2.63</v>
      </c>
      <c r="I235" s="4">
        <v>0</v>
      </c>
    </row>
    <row r="236" spans="1:9" x14ac:dyDescent="0.2">
      <c r="A236" s="2">
        <v>9</v>
      </c>
      <c r="B236" s="1" t="s">
        <v>161</v>
      </c>
      <c r="C236" s="4">
        <v>31</v>
      </c>
      <c r="D236" s="8">
        <v>1.99</v>
      </c>
      <c r="E236" s="4">
        <v>5</v>
      </c>
      <c r="F236" s="8">
        <v>1.02</v>
      </c>
      <c r="G236" s="4">
        <v>26</v>
      </c>
      <c r="H236" s="8">
        <v>2.44</v>
      </c>
      <c r="I236" s="4">
        <v>0</v>
      </c>
    </row>
    <row r="237" spans="1:9" x14ac:dyDescent="0.2">
      <c r="A237" s="2">
        <v>10</v>
      </c>
      <c r="B237" s="1" t="s">
        <v>166</v>
      </c>
      <c r="C237" s="4">
        <v>30</v>
      </c>
      <c r="D237" s="8">
        <v>1.92</v>
      </c>
      <c r="E237" s="4">
        <v>1</v>
      </c>
      <c r="F237" s="8">
        <v>0.2</v>
      </c>
      <c r="G237" s="4">
        <v>29</v>
      </c>
      <c r="H237" s="8">
        <v>2.72</v>
      </c>
      <c r="I237" s="4">
        <v>0</v>
      </c>
    </row>
    <row r="238" spans="1:9" x14ac:dyDescent="0.2">
      <c r="A238" s="2">
        <v>11</v>
      </c>
      <c r="B238" s="1" t="s">
        <v>157</v>
      </c>
      <c r="C238" s="4">
        <v>29</v>
      </c>
      <c r="D238" s="8">
        <v>1.86</v>
      </c>
      <c r="E238" s="4">
        <v>3</v>
      </c>
      <c r="F238" s="8">
        <v>0.61</v>
      </c>
      <c r="G238" s="4">
        <v>26</v>
      </c>
      <c r="H238" s="8">
        <v>2.44</v>
      </c>
      <c r="I238" s="4">
        <v>0</v>
      </c>
    </row>
    <row r="239" spans="1:9" x14ac:dyDescent="0.2">
      <c r="A239" s="2">
        <v>11</v>
      </c>
      <c r="B239" s="1" t="s">
        <v>178</v>
      </c>
      <c r="C239" s="4">
        <v>29</v>
      </c>
      <c r="D239" s="8">
        <v>1.86</v>
      </c>
      <c r="E239" s="4">
        <v>4</v>
      </c>
      <c r="F239" s="8">
        <v>0.82</v>
      </c>
      <c r="G239" s="4">
        <v>25</v>
      </c>
      <c r="H239" s="8">
        <v>2.35</v>
      </c>
      <c r="I239" s="4">
        <v>0</v>
      </c>
    </row>
    <row r="240" spans="1:9" x14ac:dyDescent="0.2">
      <c r="A240" s="2">
        <v>13</v>
      </c>
      <c r="B240" s="1" t="s">
        <v>177</v>
      </c>
      <c r="C240" s="4">
        <v>28</v>
      </c>
      <c r="D240" s="8">
        <v>1.8</v>
      </c>
      <c r="E240" s="4">
        <v>4</v>
      </c>
      <c r="F240" s="8">
        <v>0.82</v>
      </c>
      <c r="G240" s="4">
        <v>24</v>
      </c>
      <c r="H240" s="8">
        <v>2.25</v>
      </c>
      <c r="I240" s="4">
        <v>0</v>
      </c>
    </row>
    <row r="241" spans="1:9" x14ac:dyDescent="0.2">
      <c r="A241" s="2">
        <v>13</v>
      </c>
      <c r="B241" s="1" t="s">
        <v>160</v>
      </c>
      <c r="C241" s="4">
        <v>28</v>
      </c>
      <c r="D241" s="8">
        <v>1.8</v>
      </c>
      <c r="E241" s="4">
        <v>4</v>
      </c>
      <c r="F241" s="8">
        <v>0.82</v>
      </c>
      <c r="G241" s="4">
        <v>24</v>
      </c>
      <c r="H241" s="8">
        <v>2.25</v>
      </c>
      <c r="I241" s="4">
        <v>0</v>
      </c>
    </row>
    <row r="242" spans="1:9" x14ac:dyDescent="0.2">
      <c r="A242" s="2">
        <v>13</v>
      </c>
      <c r="B242" s="1" t="s">
        <v>163</v>
      </c>
      <c r="C242" s="4">
        <v>28</v>
      </c>
      <c r="D242" s="8">
        <v>1.8</v>
      </c>
      <c r="E242" s="4">
        <v>5</v>
      </c>
      <c r="F242" s="8">
        <v>1.02</v>
      </c>
      <c r="G242" s="4">
        <v>23</v>
      </c>
      <c r="H242" s="8">
        <v>2.16</v>
      </c>
      <c r="I242" s="4">
        <v>0</v>
      </c>
    </row>
    <row r="243" spans="1:9" x14ac:dyDescent="0.2">
      <c r="A243" s="2">
        <v>13</v>
      </c>
      <c r="B243" s="1" t="s">
        <v>169</v>
      </c>
      <c r="C243" s="4">
        <v>28</v>
      </c>
      <c r="D243" s="8">
        <v>1.8</v>
      </c>
      <c r="E243" s="4">
        <v>23</v>
      </c>
      <c r="F243" s="8">
        <v>4.7</v>
      </c>
      <c r="G243" s="4">
        <v>5</v>
      </c>
      <c r="H243" s="8">
        <v>0.47</v>
      </c>
      <c r="I243" s="4">
        <v>0</v>
      </c>
    </row>
    <row r="244" spans="1:9" x14ac:dyDescent="0.2">
      <c r="A244" s="2">
        <v>13</v>
      </c>
      <c r="B244" s="1" t="s">
        <v>171</v>
      </c>
      <c r="C244" s="4">
        <v>28</v>
      </c>
      <c r="D244" s="8">
        <v>1.8</v>
      </c>
      <c r="E244" s="4">
        <v>9</v>
      </c>
      <c r="F244" s="8">
        <v>1.84</v>
      </c>
      <c r="G244" s="4">
        <v>19</v>
      </c>
      <c r="H244" s="8">
        <v>1.78</v>
      </c>
      <c r="I244" s="4">
        <v>0</v>
      </c>
    </row>
    <row r="245" spans="1:9" x14ac:dyDescent="0.2">
      <c r="A245" s="2">
        <v>18</v>
      </c>
      <c r="B245" s="1" t="s">
        <v>179</v>
      </c>
      <c r="C245" s="4">
        <v>26</v>
      </c>
      <c r="D245" s="8">
        <v>1.67</v>
      </c>
      <c r="E245" s="4">
        <v>11</v>
      </c>
      <c r="F245" s="8">
        <v>2.25</v>
      </c>
      <c r="G245" s="4">
        <v>15</v>
      </c>
      <c r="H245" s="8">
        <v>1.41</v>
      </c>
      <c r="I245" s="4">
        <v>0</v>
      </c>
    </row>
    <row r="246" spans="1:9" x14ac:dyDescent="0.2">
      <c r="A246" s="2">
        <v>19</v>
      </c>
      <c r="B246" s="1" t="s">
        <v>168</v>
      </c>
      <c r="C246" s="4">
        <v>25</v>
      </c>
      <c r="D246" s="8">
        <v>1.6</v>
      </c>
      <c r="E246" s="4">
        <v>1</v>
      </c>
      <c r="F246" s="8">
        <v>0.2</v>
      </c>
      <c r="G246" s="4">
        <v>24</v>
      </c>
      <c r="H246" s="8">
        <v>2.25</v>
      </c>
      <c r="I246" s="4">
        <v>0</v>
      </c>
    </row>
    <row r="247" spans="1:9" x14ac:dyDescent="0.2">
      <c r="A247" s="2">
        <v>20</v>
      </c>
      <c r="B247" s="1" t="s">
        <v>182</v>
      </c>
      <c r="C247" s="4">
        <v>24</v>
      </c>
      <c r="D247" s="8">
        <v>1.54</v>
      </c>
      <c r="E247" s="4">
        <v>1</v>
      </c>
      <c r="F247" s="8">
        <v>0.2</v>
      </c>
      <c r="G247" s="4">
        <v>23</v>
      </c>
      <c r="H247" s="8">
        <v>2.16</v>
      </c>
      <c r="I247" s="4">
        <v>0</v>
      </c>
    </row>
    <row r="248" spans="1:9" x14ac:dyDescent="0.2">
      <c r="A248" s="2">
        <v>20</v>
      </c>
      <c r="B248" s="1" t="s">
        <v>184</v>
      </c>
      <c r="C248" s="4">
        <v>24</v>
      </c>
      <c r="D248" s="8">
        <v>1.54</v>
      </c>
      <c r="E248" s="4">
        <v>4</v>
      </c>
      <c r="F248" s="8">
        <v>0.82</v>
      </c>
      <c r="G248" s="4">
        <v>20</v>
      </c>
      <c r="H248" s="8">
        <v>1.88</v>
      </c>
      <c r="I248" s="4">
        <v>0</v>
      </c>
    </row>
    <row r="249" spans="1:9" x14ac:dyDescent="0.2">
      <c r="A249" s="1"/>
      <c r="C249" s="4"/>
      <c r="D249" s="8"/>
      <c r="E249" s="4"/>
      <c r="F249" s="8"/>
      <c r="G249" s="4"/>
      <c r="H249" s="8"/>
      <c r="I249" s="4"/>
    </row>
    <row r="250" spans="1:9" x14ac:dyDescent="0.2">
      <c r="A250" s="1" t="s">
        <v>11</v>
      </c>
      <c r="C250" s="4"/>
      <c r="D250" s="8"/>
      <c r="E250" s="4"/>
      <c r="F250" s="8"/>
      <c r="G250" s="4"/>
      <c r="H250" s="8"/>
      <c r="I250" s="4"/>
    </row>
    <row r="251" spans="1:9" x14ac:dyDescent="0.2">
      <c r="A251" s="2">
        <v>1</v>
      </c>
      <c r="B251" s="1" t="s">
        <v>173</v>
      </c>
      <c r="C251" s="4">
        <v>83</v>
      </c>
      <c r="D251" s="8">
        <v>3.66</v>
      </c>
      <c r="E251" s="4">
        <v>76</v>
      </c>
      <c r="F251" s="8">
        <v>8.44</v>
      </c>
      <c r="G251" s="4">
        <v>7</v>
      </c>
      <c r="H251" s="8">
        <v>0.52</v>
      </c>
      <c r="I251" s="4">
        <v>0</v>
      </c>
    </row>
    <row r="252" spans="1:9" x14ac:dyDescent="0.2">
      <c r="A252" s="2">
        <v>2</v>
      </c>
      <c r="B252" s="1" t="s">
        <v>172</v>
      </c>
      <c r="C252" s="4">
        <v>77</v>
      </c>
      <c r="D252" s="8">
        <v>3.4</v>
      </c>
      <c r="E252" s="4">
        <v>75</v>
      </c>
      <c r="F252" s="8">
        <v>8.33</v>
      </c>
      <c r="G252" s="4">
        <v>2</v>
      </c>
      <c r="H252" s="8">
        <v>0.15</v>
      </c>
      <c r="I252" s="4">
        <v>0</v>
      </c>
    </row>
    <row r="253" spans="1:9" x14ac:dyDescent="0.2">
      <c r="A253" s="2">
        <v>3</v>
      </c>
      <c r="B253" s="1" t="s">
        <v>167</v>
      </c>
      <c r="C253" s="4">
        <v>68</v>
      </c>
      <c r="D253" s="8">
        <v>3</v>
      </c>
      <c r="E253" s="4">
        <v>22</v>
      </c>
      <c r="F253" s="8">
        <v>2.44</v>
      </c>
      <c r="G253" s="4">
        <v>46</v>
      </c>
      <c r="H253" s="8">
        <v>3.39</v>
      </c>
      <c r="I253" s="4">
        <v>0</v>
      </c>
    </row>
    <row r="254" spans="1:9" x14ac:dyDescent="0.2">
      <c r="A254" s="2">
        <v>4</v>
      </c>
      <c r="B254" s="1" t="s">
        <v>163</v>
      </c>
      <c r="C254" s="4">
        <v>51</v>
      </c>
      <c r="D254" s="8">
        <v>2.25</v>
      </c>
      <c r="E254" s="4">
        <v>16</v>
      </c>
      <c r="F254" s="8">
        <v>1.78</v>
      </c>
      <c r="G254" s="4">
        <v>35</v>
      </c>
      <c r="H254" s="8">
        <v>2.58</v>
      </c>
      <c r="I254" s="4">
        <v>0</v>
      </c>
    </row>
    <row r="255" spans="1:9" x14ac:dyDescent="0.2">
      <c r="A255" s="2">
        <v>5</v>
      </c>
      <c r="B255" s="1" t="s">
        <v>200</v>
      </c>
      <c r="C255" s="4">
        <v>50</v>
      </c>
      <c r="D255" s="8">
        <v>2.21</v>
      </c>
      <c r="E255" s="4">
        <v>7</v>
      </c>
      <c r="F255" s="8">
        <v>0.78</v>
      </c>
      <c r="G255" s="4">
        <v>43</v>
      </c>
      <c r="H255" s="8">
        <v>3.17</v>
      </c>
      <c r="I255" s="4">
        <v>0</v>
      </c>
    </row>
    <row r="256" spans="1:9" x14ac:dyDescent="0.2">
      <c r="A256" s="2">
        <v>6</v>
      </c>
      <c r="B256" s="1" t="s">
        <v>175</v>
      </c>
      <c r="C256" s="4">
        <v>44</v>
      </c>
      <c r="D256" s="8">
        <v>1.94</v>
      </c>
      <c r="E256" s="4">
        <v>39</v>
      </c>
      <c r="F256" s="8">
        <v>4.33</v>
      </c>
      <c r="G256" s="4">
        <v>5</v>
      </c>
      <c r="H256" s="8">
        <v>0.37</v>
      </c>
      <c r="I256" s="4">
        <v>0</v>
      </c>
    </row>
    <row r="257" spans="1:9" x14ac:dyDescent="0.2">
      <c r="A257" s="2">
        <v>6</v>
      </c>
      <c r="B257" s="1" t="s">
        <v>176</v>
      </c>
      <c r="C257" s="4">
        <v>44</v>
      </c>
      <c r="D257" s="8">
        <v>1.94</v>
      </c>
      <c r="E257" s="4">
        <v>21</v>
      </c>
      <c r="F257" s="8">
        <v>2.33</v>
      </c>
      <c r="G257" s="4">
        <v>23</v>
      </c>
      <c r="H257" s="8">
        <v>1.69</v>
      </c>
      <c r="I257" s="4">
        <v>0</v>
      </c>
    </row>
    <row r="258" spans="1:9" x14ac:dyDescent="0.2">
      <c r="A258" s="2">
        <v>8</v>
      </c>
      <c r="B258" s="1" t="s">
        <v>159</v>
      </c>
      <c r="C258" s="4">
        <v>43</v>
      </c>
      <c r="D258" s="8">
        <v>1.9</v>
      </c>
      <c r="E258" s="4">
        <v>18</v>
      </c>
      <c r="F258" s="8">
        <v>2</v>
      </c>
      <c r="G258" s="4">
        <v>25</v>
      </c>
      <c r="H258" s="8">
        <v>1.84</v>
      </c>
      <c r="I258" s="4">
        <v>0</v>
      </c>
    </row>
    <row r="259" spans="1:9" x14ac:dyDescent="0.2">
      <c r="A259" s="2">
        <v>9</v>
      </c>
      <c r="B259" s="1" t="s">
        <v>161</v>
      </c>
      <c r="C259" s="4">
        <v>39</v>
      </c>
      <c r="D259" s="8">
        <v>1.72</v>
      </c>
      <c r="E259" s="4">
        <v>4</v>
      </c>
      <c r="F259" s="8">
        <v>0.44</v>
      </c>
      <c r="G259" s="4">
        <v>35</v>
      </c>
      <c r="H259" s="8">
        <v>2.58</v>
      </c>
      <c r="I259" s="4">
        <v>0</v>
      </c>
    </row>
    <row r="260" spans="1:9" x14ac:dyDescent="0.2">
      <c r="A260" s="2">
        <v>10</v>
      </c>
      <c r="B260" s="1" t="s">
        <v>160</v>
      </c>
      <c r="C260" s="4">
        <v>38</v>
      </c>
      <c r="D260" s="8">
        <v>1.68</v>
      </c>
      <c r="E260" s="4">
        <v>5</v>
      </c>
      <c r="F260" s="8">
        <v>0.56000000000000005</v>
      </c>
      <c r="G260" s="4">
        <v>33</v>
      </c>
      <c r="H260" s="8">
        <v>2.4300000000000002</v>
      </c>
      <c r="I260" s="4">
        <v>0</v>
      </c>
    </row>
    <row r="261" spans="1:9" x14ac:dyDescent="0.2">
      <c r="A261" s="2">
        <v>10</v>
      </c>
      <c r="B261" s="1" t="s">
        <v>166</v>
      </c>
      <c r="C261" s="4">
        <v>38</v>
      </c>
      <c r="D261" s="8">
        <v>1.68</v>
      </c>
      <c r="E261" s="4">
        <v>2</v>
      </c>
      <c r="F261" s="8">
        <v>0.22</v>
      </c>
      <c r="G261" s="4">
        <v>36</v>
      </c>
      <c r="H261" s="8">
        <v>2.65</v>
      </c>
      <c r="I261" s="4">
        <v>0</v>
      </c>
    </row>
    <row r="262" spans="1:9" x14ac:dyDescent="0.2">
      <c r="A262" s="2">
        <v>12</v>
      </c>
      <c r="B262" s="1" t="s">
        <v>158</v>
      </c>
      <c r="C262" s="4">
        <v>35</v>
      </c>
      <c r="D262" s="8">
        <v>1.54</v>
      </c>
      <c r="E262" s="4">
        <v>5</v>
      </c>
      <c r="F262" s="8">
        <v>0.56000000000000005</v>
      </c>
      <c r="G262" s="4">
        <v>30</v>
      </c>
      <c r="H262" s="8">
        <v>2.21</v>
      </c>
      <c r="I262" s="4">
        <v>0</v>
      </c>
    </row>
    <row r="263" spans="1:9" x14ac:dyDescent="0.2">
      <c r="A263" s="2">
        <v>13</v>
      </c>
      <c r="B263" s="1" t="s">
        <v>201</v>
      </c>
      <c r="C263" s="4">
        <v>34</v>
      </c>
      <c r="D263" s="8">
        <v>1.5</v>
      </c>
      <c r="E263" s="4">
        <v>14</v>
      </c>
      <c r="F263" s="8">
        <v>1.56</v>
      </c>
      <c r="G263" s="4">
        <v>20</v>
      </c>
      <c r="H263" s="8">
        <v>1.47</v>
      </c>
      <c r="I263" s="4">
        <v>0</v>
      </c>
    </row>
    <row r="264" spans="1:9" x14ac:dyDescent="0.2">
      <c r="A264" s="2">
        <v>13</v>
      </c>
      <c r="B264" s="1" t="s">
        <v>169</v>
      </c>
      <c r="C264" s="4">
        <v>34</v>
      </c>
      <c r="D264" s="8">
        <v>1.5</v>
      </c>
      <c r="E264" s="4">
        <v>33</v>
      </c>
      <c r="F264" s="8">
        <v>3.67</v>
      </c>
      <c r="G264" s="4">
        <v>1</v>
      </c>
      <c r="H264" s="8">
        <v>7.0000000000000007E-2</v>
      </c>
      <c r="I264" s="4">
        <v>0</v>
      </c>
    </row>
    <row r="265" spans="1:9" x14ac:dyDescent="0.2">
      <c r="A265" s="2">
        <v>13</v>
      </c>
      <c r="B265" s="1" t="s">
        <v>170</v>
      </c>
      <c r="C265" s="4">
        <v>34</v>
      </c>
      <c r="D265" s="8">
        <v>1.5</v>
      </c>
      <c r="E265" s="4">
        <v>32</v>
      </c>
      <c r="F265" s="8">
        <v>3.56</v>
      </c>
      <c r="G265" s="4">
        <v>2</v>
      </c>
      <c r="H265" s="8">
        <v>0.15</v>
      </c>
      <c r="I265" s="4">
        <v>0</v>
      </c>
    </row>
    <row r="266" spans="1:9" x14ac:dyDescent="0.2">
      <c r="A266" s="2">
        <v>16</v>
      </c>
      <c r="B266" s="1" t="s">
        <v>171</v>
      </c>
      <c r="C266" s="4">
        <v>33</v>
      </c>
      <c r="D266" s="8">
        <v>1.46</v>
      </c>
      <c r="E266" s="4">
        <v>21</v>
      </c>
      <c r="F266" s="8">
        <v>2.33</v>
      </c>
      <c r="G266" s="4">
        <v>12</v>
      </c>
      <c r="H266" s="8">
        <v>0.88</v>
      </c>
      <c r="I266" s="4">
        <v>0</v>
      </c>
    </row>
    <row r="267" spans="1:9" x14ac:dyDescent="0.2">
      <c r="A267" s="2">
        <v>17</v>
      </c>
      <c r="B267" s="1" t="s">
        <v>157</v>
      </c>
      <c r="C267" s="4">
        <v>32</v>
      </c>
      <c r="D267" s="8">
        <v>1.41</v>
      </c>
      <c r="E267" s="4">
        <v>2</v>
      </c>
      <c r="F267" s="8">
        <v>0.22</v>
      </c>
      <c r="G267" s="4">
        <v>30</v>
      </c>
      <c r="H267" s="8">
        <v>2.21</v>
      </c>
      <c r="I267" s="4">
        <v>0</v>
      </c>
    </row>
    <row r="268" spans="1:9" x14ac:dyDescent="0.2">
      <c r="A268" s="2">
        <v>18</v>
      </c>
      <c r="B268" s="1" t="s">
        <v>197</v>
      </c>
      <c r="C268" s="4">
        <v>30</v>
      </c>
      <c r="D268" s="8">
        <v>1.32</v>
      </c>
      <c r="E268" s="4">
        <v>11</v>
      </c>
      <c r="F268" s="8">
        <v>1.22</v>
      </c>
      <c r="G268" s="4">
        <v>19</v>
      </c>
      <c r="H268" s="8">
        <v>1.4</v>
      </c>
      <c r="I268" s="4">
        <v>0</v>
      </c>
    </row>
    <row r="269" spans="1:9" x14ac:dyDescent="0.2">
      <c r="A269" s="2">
        <v>19</v>
      </c>
      <c r="B269" s="1" t="s">
        <v>177</v>
      </c>
      <c r="C269" s="4">
        <v>29</v>
      </c>
      <c r="D269" s="8">
        <v>1.28</v>
      </c>
      <c r="E269" s="4">
        <v>4</v>
      </c>
      <c r="F269" s="8">
        <v>0.44</v>
      </c>
      <c r="G269" s="4">
        <v>25</v>
      </c>
      <c r="H269" s="8">
        <v>1.84</v>
      </c>
      <c r="I269" s="4">
        <v>0</v>
      </c>
    </row>
    <row r="270" spans="1:9" x14ac:dyDescent="0.2">
      <c r="A270" s="2">
        <v>20</v>
      </c>
      <c r="B270" s="1" t="s">
        <v>182</v>
      </c>
      <c r="C270" s="4">
        <v>28</v>
      </c>
      <c r="D270" s="8">
        <v>1.24</v>
      </c>
      <c r="E270" s="4">
        <v>7</v>
      </c>
      <c r="F270" s="8">
        <v>0.78</v>
      </c>
      <c r="G270" s="4">
        <v>21</v>
      </c>
      <c r="H270" s="8">
        <v>1.55</v>
      </c>
      <c r="I270" s="4">
        <v>0</v>
      </c>
    </row>
    <row r="271" spans="1:9" x14ac:dyDescent="0.2">
      <c r="A271" s="2">
        <v>20</v>
      </c>
      <c r="B271" s="1" t="s">
        <v>174</v>
      </c>
      <c r="C271" s="4">
        <v>28</v>
      </c>
      <c r="D271" s="8">
        <v>1.24</v>
      </c>
      <c r="E271" s="4">
        <v>19</v>
      </c>
      <c r="F271" s="8">
        <v>2.11</v>
      </c>
      <c r="G271" s="4">
        <v>9</v>
      </c>
      <c r="H271" s="8">
        <v>0.66</v>
      </c>
      <c r="I271" s="4">
        <v>0</v>
      </c>
    </row>
    <row r="272" spans="1:9" x14ac:dyDescent="0.2">
      <c r="A272" s="1"/>
      <c r="C272" s="4"/>
      <c r="D272" s="8"/>
      <c r="E272" s="4"/>
      <c r="F272" s="8"/>
      <c r="G272" s="4"/>
      <c r="H272" s="8"/>
      <c r="I272" s="4"/>
    </row>
    <row r="273" spans="1:9" x14ac:dyDescent="0.2">
      <c r="A273" s="1" t="s">
        <v>12</v>
      </c>
      <c r="C273" s="4"/>
      <c r="D273" s="8"/>
      <c r="E273" s="4"/>
      <c r="F273" s="8"/>
      <c r="G273" s="4"/>
      <c r="H273" s="8"/>
      <c r="I273" s="4"/>
    </row>
    <row r="274" spans="1:9" x14ac:dyDescent="0.2">
      <c r="A274" s="2">
        <v>1</v>
      </c>
      <c r="B274" s="1" t="s">
        <v>173</v>
      </c>
      <c r="C274" s="4">
        <v>268</v>
      </c>
      <c r="D274" s="8">
        <v>4.57</v>
      </c>
      <c r="E274" s="4">
        <v>222</v>
      </c>
      <c r="F274" s="8">
        <v>9.2799999999999994</v>
      </c>
      <c r="G274" s="4">
        <v>46</v>
      </c>
      <c r="H274" s="8">
        <v>1.33</v>
      </c>
      <c r="I274" s="4">
        <v>0</v>
      </c>
    </row>
    <row r="275" spans="1:9" x14ac:dyDescent="0.2">
      <c r="A275" s="2">
        <v>2</v>
      </c>
      <c r="B275" s="1" t="s">
        <v>167</v>
      </c>
      <c r="C275" s="4">
        <v>192</v>
      </c>
      <c r="D275" s="8">
        <v>3.27</v>
      </c>
      <c r="E275" s="4">
        <v>54</v>
      </c>
      <c r="F275" s="8">
        <v>2.2599999999999998</v>
      </c>
      <c r="G275" s="4">
        <v>138</v>
      </c>
      <c r="H275" s="8">
        <v>4</v>
      </c>
      <c r="I275" s="4">
        <v>0</v>
      </c>
    </row>
    <row r="276" spans="1:9" x14ac:dyDescent="0.2">
      <c r="A276" s="2">
        <v>3</v>
      </c>
      <c r="B276" s="1" t="s">
        <v>172</v>
      </c>
      <c r="C276" s="4">
        <v>171</v>
      </c>
      <c r="D276" s="8">
        <v>2.91</v>
      </c>
      <c r="E276" s="4">
        <v>158</v>
      </c>
      <c r="F276" s="8">
        <v>6.6</v>
      </c>
      <c r="G276" s="4">
        <v>13</v>
      </c>
      <c r="H276" s="8">
        <v>0.38</v>
      </c>
      <c r="I276" s="4">
        <v>0</v>
      </c>
    </row>
    <row r="277" spans="1:9" x14ac:dyDescent="0.2">
      <c r="A277" s="2">
        <v>4</v>
      </c>
      <c r="B277" s="1" t="s">
        <v>175</v>
      </c>
      <c r="C277" s="4">
        <v>170</v>
      </c>
      <c r="D277" s="8">
        <v>2.9</v>
      </c>
      <c r="E277" s="4">
        <v>139</v>
      </c>
      <c r="F277" s="8">
        <v>5.81</v>
      </c>
      <c r="G277" s="4">
        <v>31</v>
      </c>
      <c r="H277" s="8">
        <v>0.9</v>
      </c>
      <c r="I277" s="4">
        <v>0</v>
      </c>
    </row>
    <row r="278" spans="1:9" x14ac:dyDescent="0.2">
      <c r="A278" s="2">
        <v>5</v>
      </c>
      <c r="B278" s="1" t="s">
        <v>169</v>
      </c>
      <c r="C278" s="4">
        <v>157</v>
      </c>
      <c r="D278" s="8">
        <v>2.68</v>
      </c>
      <c r="E278" s="4">
        <v>117</v>
      </c>
      <c r="F278" s="8">
        <v>4.8899999999999997</v>
      </c>
      <c r="G278" s="4">
        <v>40</v>
      </c>
      <c r="H278" s="8">
        <v>1.1599999999999999</v>
      </c>
      <c r="I278" s="4">
        <v>0</v>
      </c>
    </row>
    <row r="279" spans="1:9" x14ac:dyDescent="0.2">
      <c r="A279" s="2">
        <v>6</v>
      </c>
      <c r="B279" s="1" t="s">
        <v>174</v>
      </c>
      <c r="C279" s="4">
        <v>145</v>
      </c>
      <c r="D279" s="8">
        <v>2.4700000000000002</v>
      </c>
      <c r="E279" s="4">
        <v>116</v>
      </c>
      <c r="F279" s="8">
        <v>4.8499999999999996</v>
      </c>
      <c r="G279" s="4">
        <v>29</v>
      </c>
      <c r="H279" s="8">
        <v>0.84</v>
      </c>
      <c r="I279" s="4">
        <v>0</v>
      </c>
    </row>
    <row r="280" spans="1:9" x14ac:dyDescent="0.2">
      <c r="A280" s="2">
        <v>7</v>
      </c>
      <c r="B280" s="1" t="s">
        <v>170</v>
      </c>
      <c r="C280" s="4">
        <v>130</v>
      </c>
      <c r="D280" s="8">
        <v>2.2200000000000002</v>
      </c>
      <c r="E280" s="4">
        <v>107</v>
      </c>
      <c r="F280" s="8">
        <v>4.47</v>
      </c>
      <c r="G280" s="4">
        <v>23</v>
      </c>
      <c r="H280" s="8">
        <v>0.67</v>
      </c>
      <c r="I280" s="4">
        <v>0</v>
      </c>
    </row>
    <row r="281" spans="1:9" x14ac:dyDescent="0.2">
      <c r="A281" s="2">
        <v>8</v>
      </c>
      <c r="B281" s="1" t="s">
        <v>161</v>
      </c>
      <c r="C281" s="4">
        <v>112</v>
      </c>
      <c r="D281" s="8">
        <v>1.91</v>
      </c>
      <c r="E281" s="4">
        <v>17</v>
      </c>
      <c r="F281" s="8">
        <v>0.71</v>
      </c>
      <c r="G281" s="4">
        <v>95</v>
      </c>
      <c r="H281" s="8">
        <v>2.75</v>
      </c>
      <c r="I281" s="4">
        <v>0</v>
      </c>
    </row>
    <row r="282" spans="1:9" x14ac:dyDescent="0.2">
      <c r="A282" s="2">
        <v>9</v>
      </c>
      <c r="B282" s="1" t="s">
        <v>162</v>
      </c>
      <c r="C282" s="4">
        <v>109</v>
      </c>
      <c r="D282" s="8">
        <v>1.86</v>
      </c>
      <c r="E282" s="4">
        <v>59</v>
      </c>
      <c r="F282" s="8">
        <v>2.4700000000000002</v>
      </c>
      <c r="G282" s="4">
        <v>50</v>
      </c>
      <c r="H282" s="8">
        <v>1.45</v>
      </c>
      <c r="I282" s="4">
        <v>0</v>
      </c>
    </row>
    <row r="283" spans="1:9" x14ac:dyDescent="0.2">
      <c r="A283" s="2">
        <v>10</v>
      </c>
      <c r="B283" s="1" t="s">
        <v>166</v>
      </c>
      <c r="C283" s="4">
        <v>106</v>
      </c>
      <c r="D283" s="8">
        <v>1.81</v>
      </c>
      <c r="E283" s="4">
        <v>10</v>
      </c>
      <c r="F283" s="8">
        <v>0.42</v>
      </c>
      <c r="G283" s="4">
        <v>96</v>
      </c>
      <c r="H283" s="8">
        <v>2.78</v>
      </c>
      <c r="I283" s="4">
        <v>0</v>
      </c>
    </row>
    <row r="284" spans="1:9" x14ac:dyDescent="0.2">
      <c r="A284" s="2">
        <v>11</v>
      </c>
      <c r="B284" s="1" t="s">
        <v>164</v>
      </c>
      <c r="C284" s="4">
        <v>105</v>
      </c>
      <c r="D284" s="8">
        <v>1.79</v>
      </c>
      <c r="E284" s="4">
        <v>51</v>
      </c>
      <c r="F284" s="8">
        <v>2.13</v>
      </c>
      <c r="G284" s="4">
        <v>54</v>
      </c>
      <c r="H284" s="8">
        <v>1.56</v>
      </c>
      <c r="I284" s="4">
        <v>0</v>
      </c>
    </row>
    <row r="285" spans="1:9" x14ac:dyDescent="0.2">
      <c r="A285" s="2">
        <v>12</v>
      </c>
      <c r="B285" s="1" t="s">
        <v>160</v>
      </c>
      <c r="C285" s="4">
        <v>100</v>
      </c>
      <c r="D285" s="8">
        <v>1.7</v>
      </c>
      <c r="E285" s="4">
        <v>15</v>
      </c>
      <c r="F285" s="8">
        <v>0.63</v>
      </c>
      <c r="G285" s="4">
        <v>85</v>
      </c>
      <c r="H285" s="8">
        <v>2.46</v>
      </c>
      <c r="I285" s="4">
        <v>0</v>
      </c>
    </row>
    <row r="286" spans="1:9" x14ac:dyDescent="0.2">
      <c r="A286" s="2">
        <v>13</v>
      </c>
      <c r="B286" s="1" t="s">
        <v>188</v>
      </c>
      <c r="C286" s="4">
        <v>99</v>
      </c>
      <c r="D286" s="8">
        <v>1.69</v>
      </c>
      <c r="E286" s="4">
        <v>59</v>
      </c>
      <c r="F286" s="8">
        <v>2.4700000000000002</v>
      </c>
      <c r="G286" s="4">
        <v>40</v>
      </c>
      <c r="H286" s="8">
        <v>1.1599999999999999</v>
      </c>
      <c r="I286" s="4">
        <v>0</v>
      </c>
    </row>
    <row r="287" spans="1:9" x14ac:dyDescent="0.2">
      <c r="A287" s="2">
        <v>14</v>
      </c>
      <c r="B287" s="1" t="s">
        <v>168</v>
      </c>
      <c r="C287" s="4">
        <v>96</v>
      </c>
      <c r="D287" s="8">
        <v>1.64</v>
      </c>
      <c r="E287" s="4">
        <v>3</v>
      </c>
      <c r="F287" s="8">
        <v>0.13</v>
      </c>
      <c r="G287" s="4">
        <v>93</v>
      </c>
      <c r="H287" s="8">
        <v>2.69</v>
      </c>
      <c r="I287" s="4">
        <v>0</v>
      </c>
    </row>
    <row r="288" spans="1:9" x14ac:dyDescent="0.2">
      <c r="A288" s="2">
        <v>15</v>
      </c>
      <c r="B288" s="1" t="s">
        <v>163</v>
      </c>
      <c r="C288" s="4">
        <v>95</v>
      </c>
      <c r="D288" s="8">
        <v>1.62</v>
      </c>
      <c r="E288" s="4">
        <v>33</v>
      </c>
      <c r="F288" s="8">
        <v>1.38</v>
      </c>
      <c r="G288" s="4">
        <v>62</v>
      </c>
      <c r="H288" s="8">
        <v>1.8</v>
      </c>
      <c r="I288" s="4">
        <v>0</v>
      </c>
    </row>
    <row r="289" spans="1:9" x14ac:dyDescent="0.2">
      <c r="A289" s="2">
        <v>16</v>
      </c>
      <c r="B289" s="1" t="s">
        <v>178</v>
      </c>
      <c r="C289" s="4">
        <v>87</v>
      </c>
      <c r="D289" s="8">
        <v>1.48</v>
      </c>
      <c r="E289" s="4">
        <v>23</v>
      </c>
      <c r="F289" s="8">
        <v>0.96</v>
      </c>
      <c r="G289" s="4">
        <v>62</v>
      </c>
      <c r="H289" s="8">
        <v>1.8</v>
      </c>
      <c r="I289" s="4">
        <v>0</v>
      </c>
    </row>
    <row r="290" spans="1:9" x14ac:dyDescent="0.2">
      <c r="A290" s="2">
        <v>17</v>
      </c>
      <c r="B290" s="1" t="s">
        <v>176</v>
      </c>
      <c r="C290" s="4">
        <v>86</v>
      </c>
      <c r="D290" s="8">
        <v>1.47</v>
      </c>
      <c r="E290" s="4">
        <v>46</v>
      </c>
      <c r="F290" s="8">
        <v>1.92</v>
      </c>
      <c r="G290" s="4">
        <v>40</v>
      </c>
      <c r="H290" s="8">
        <v>1.1599999999999999</v>
      </c>
      <c r="I290" s="4">
        <v>0</v>
      </c>
    </row>
    <row r="291" spans="1:9" x14ac:dyDescent="0.2">
      <c r="A291" s="2">
        <v>18</v>
      </c>
      <c r="B291" s="1" t="s">
        <v>165</v>
      </c>
      <c r="C291" s="4">
        <v>85</v>
      </c>
      <c r="D291" s="8">
        <v>1.45</v>
      </c>
      <c r="E291" s="4">
        <v>12</v>
      </c>
      <c r="F291" s="8">
        <v>0.5</v>
      </c>
      <c r="G291" s="4">
        <v>73</v>
      </c>
      <c r="H291" s="8">
        <v>2.12</v>
      </c>
      <c r="I291" s="4">
        <v>0</v>
      </c>
    </row>
    <row r="292" spans="1:9" x14ac:dyDescent="0.2">
      <c r="A292" s="2">
        <v>19</v>
      </c>
      <c r="B292" s="1" t="s">
        <v>159</v>
      </c>
      <c r="C292" s="4">
        <v>76</v>
      </c>
      <c r="D292" s="8">
        <v>1.3</v>
      </c>
      <c r="E292" s="4">
        <v>22</v>
      </c>
      <c r="F292" s="8">
        <v>0.92</v>
      </c>
      <c r="G292" s="4">
        <v>54</v>
      </c>
      <c r="H292" s="8">
        <v>1.56</v>
      </c>
      <c r="I292" s="4">
        <v>0</v>
      </c>
    </row>
    <row r="293" spans="1:9" x14ac:dyDescent="0.2">
      <c r="A293" s="2">
        <v>20</v>
      </c>
      <c r="B293" s="1" t="s">
        <v>157</v>
      </c>
      <c r="C293" s="4">
        <v>75</v>
      </c>
      <c r="D293" s="8">
        <v>1.28</v>
      </c>
      <c r="E293" s="4">
        <v>6</v>
      </c>
      <c r="F293" s="8">
        <v>0.25</v>
      </c>
      <c r="G293" s="4">
        <v>69</v>
      </c>
      <c r="H293" s="8">
        <v>2</v>
      </c>
      <c r="I293" s="4">
        <v>0</v>
      </c>
    </row>
    <row r="294" spans="1:9" x14ac:dyDescent="0.2">
      <c r="A294" s="1"/>
      <c r="C294" s="4"/>
      <c r="D294" s="8"/>
      <c r="E294" s="4"/>
      <c r="F294" s="8"/>
      <c r="G294" s="4"/>
      <c r="H294" s="8"/>
      <c r="I294" s="4"/>
    </row>
    <row r="295" spans="1:9" x14ac:dyDescent="0.2">
      <c r="A295" s="1" t="s">
        <v>13</v>
      </c>
      <c r="C295" s="4"/>
      <c r="D295" s="8"/>
      <c r="E295" s="4"/>
      <c r="F295" s="8"/>
      <c r="G295" s="4"/>
      <c r="H295" s="8"/>
      <c r="I295" s="4"/>
    </row>
    <row r="296" spans="1:9" x14ac:dyDescent="0.2">
      <c r="A296" s="2">
        <v>1</v>
      </c>
      <c r="B296" s="1" t="s">
        <v>173</v>
      </c>
      <c r="C296" s="4">
        <v>240</v>
      </c>
      <c r="D296" s="8">
        <v>5.29</v>
      </c>
      <c r="E296" s="4">
        <v>221</v>
      </c>
      <c r="F296" s="8">
        <v>9.84</v>
      </c>
      <c r="G296" s="4">
        <v>19</v>
      </c>
      <c r="H296" s="8">
        <v>0.85</v>
      </c>
      <c r="I296" s="4">
        <v>0</v>
      </c>
    </row>
    <row r="297" spans="1:9" x14ac:dyDescent="0.2">
      <c r="A297" s="2">
        <v>2</v>
      </c>
      <c r="B297" s="1" t="s">
        <v>172</v>
      </c>
      <c r="C297" s="4">
        <v>147</v>
      </c>
      <c r="D297" s="8">
        <v>3.24</v>
      </c>
      <c r="E297" s="4">
        <v>142</v>
      </c>
      <c r="F297" s="8">
        <v>6.32</v>
      </c>
      <c r="G297" s="4">
        <v>5</v>
      </c>
      <c r="H297" s="8">
        <v>0.22</v>
      </c>
      <c r="I297" s="4">
        <v>0</v>
      </c>
    </row>
    <row r="298" spans="1:9" x14ac:dyDescent="0.2">
      <c r="A298" s="2">
        <v>3</v>
      </c>
      <c r="B298" s="1" t="s">
        <v>170</v>
      </c>
      <c r="C298" s="4">
        <v>136</v>
      </c>
      <c r="D298" s="8">
        <v>3</v>
      </c>
      <c r="E298" s="4">
        <v>118</v>
      </c>
      <c r="F298" s="8">
        <v>5.25</v>
      </c>
      <c r="G298" s="4">
        <v>18</v>
      </c>
      <c r="H298" s="8">
        <v>0.8</v>
      </c>
      <c r="I298" s="4">
        <v>0</v>
      </c>
    </row>
    <row r="299" spans="1:9" x14ac:dyDescent="0.2">
      <c r="A299" s="2">
        <v>4</v>
      </c>
      <c r="B299" s="1" t="s">
        <v>174</v>
      </c>
      <c r="C299" s="4">
        <v>126</v>
      </c>
      <c r="D299" s="8">
        <v>2.78</v>
      </c>
      <c r="E299" s="4">
        <v>108</v>
      </c>
      <c r="F299" s="8">
        <v>4.8099999999999996</v>
      </c>
      <c r="G299" s="4">
        <v>18</v>
      </c>
      <c r="H299" s="8">
        <v>0.8</v>
      </c>
      <c r="I299" s="4">
        <v>0</v>
      </c>
    </row>
    <row r="300" spans="1:9" x14ac:dyDescent="0.2">
      <c r="A300" s="2">
        <v>5</v>
      </c>
      <c r="B300" s="1" t="s">
        <v>175</v>
      </c>
      <c r="C300" s="4">
        <v>122</v>
      </c>
      <c r="D300" s="8">
        <v>2.69</v>
      </c>
      <c r="E300" s="4">
        <v>111</v>
      </c>
      <c r="F300" s="8">
        <v>4.9400000000000004</v>
      </c>
      <c r="G300" s="4">
        <v>11</v>
      </c>
      <c r="H300" s="8">
        <v>0.49</v>
      </c>
      <c r="I300" s="4">
        <v>0</v>
      </c>
    </row>
    <row r="301" spans="1:9" x14ac:dyDescent="0.2">
      <c r="A301" s="2">
        <v>6</v>
      </c>
      <c r="B301" s="1" t="s">
        <v>169</v>
      </c>
      <c r="C301" s="4">
        <v>117</v>
      </c>
      <c r="D301" s="8">
        <v>2.58</v>
      </c>
      <c r="E301" s="4">
        <v>93</v>
      </c>
      <c r="F301" s="8">
        <v>4.1399999999999997</v>
      </c>
      <c r="G301" s="4">
        <v>24</v>
      </c>
      <c r="H301" s="8">
        <v>1.07</v>
      </c>
      <c r="I301" s="4">
        <v>0</v>
      </c>
    </row>
    <row r="302" spans="1:9" x14ac:dyDescent="0.2">
      <c r="A302" s="2">
        <v>7</v>
      </c>
      <c r="B302" s="1" t="s">
        <v>167</v>
      </c>
      <c r="C302" s="4">
        <v>115</v>
      </c>
      <c r="D302" s="8">
        <v>2.5299999999999998</v>
      </c>
      <c r="E302" s="4">
        <v>47</v>
      </c>
      <c r="F302" s="8">
        <v>2.09</v>
      </c>
      <c r="G302" s="4">
        <v>68</v>
      </c>
      <c r="H302" s="8">
        <v>3.03</v>
      </c>
      <c r="I302" s="4">
        <v>0</v>
      </c>
    </row>
    <row r="303" spans="1:9" x14ac:dyDescent="0.2">
      <c r="A303" s="2">
        <v>8</v>
      </c>
      <c r="B303" s="1" t="s">
        <v>176</v>
      </c>
      <c r="C303" s="4">
        <v>109</v>
      </c>
      <c r="D303" s="8">
        <v>2.4</v>
      </c>
      <c r="E303" s="4">
        <v>75</v>
      </c>
      <c r="F303" s="8">
        <v>3.34</v>
      </c>
      <c r="G303" s="4">
        <v>34</v>
      </c>
      <c r="H303" s="8">
        <v>1.51</v>
      </c>
      <c r="I303" s="4">
        <v>0</v>
      </c>
    </row>
    <row r="304" spans="1:9" x14ac:dyDescent="0.2">
      <c r="A304" s="2">
        <v>9</v>
      </c>
      <c r="B304" s="1" t="s">
        <v>159</v>
      </c>
      <c r="C304" s="4">
        <v>99</v>
      </c>
      <c r="D304" s="8">
        <v>2.1800000000000002</v>
      </c>
      <c r="E304" s="4">
        <v>56</v>
      </c>
      <c r="F304" s="8">
        <v>2.4900000000000002</v>
      </c>
      <c r="G304" s="4">
        <v>43</v>
      </c>
      <c r="H304" s="8">
        <v>1.91</v>
      </c>
      <c r="I304" s="4">
        <v>0</v>
      </c>
    </row>
    <row r="305" spans="1:9" x14ac:dyDescent="0.2">
      <c r="A305" s="2">
        <v>10</v>
      </c>
      <c r="B305" s="1" t="s">
        <v>163</v>
      </c>
      <c r="C305" s="4">
        <v>98</v>
      </c>
      <c r="D305" s="8">
        <v>2.16</v>
      </c>
      <c r="E305" s="4">
        <v>50</v>
      </c>
      <c r="F305" s="8">
        <v>2.23</v>
      </c>
      <c r="G305" s="4">
        <v>48</v>
      </c>
      <c r="H305" s="8">
        <v>2.14</v>
      </c>
      <c r="I305" s="4">
        <v>0</v>
      </c>
    </row>
    <row r="306" spans="1:9" x14ac:dyDescent="0.2">
      <c r="A306" s="2">
        <v>11</v>
      </c>
      <c r="B306" s="1" t="s">
        <v>164</v>
      </c>
      <c r="C306" s="4">
        <v>91</v>
      </c>
      <c r="D306" s="8">
        <v>2.0099999999999998</v>
      </c>
      <c r="E306" s="4">
        <v>52</v>
      </c>
      <c r="F306" s="8">
        <v>2.3199999999999998</v>
      </c>
      <c r="G306" s="4">
        <v>38</v>
      </c>
      <c r="H306" s="8">
        <v>1.69</v>
      </c>
      <c r="I306" s="4">
        <v>1</v>
      </c>
    </row>
    <row r="307" spans="1:9" x14ac:dyDescent="0.2">
      <c r="A307" s="2">
        <v>12</v>
      </c>
      <c r="B307" s="1" t="s">
        <v>158</v>
      </c>
      <c r="C307" s="4">
        <v>76</v>
      </c>
      <c r="D307" s="8">
        <v>1.68</v>
      </c>
      <c r="E307" s="4">
        <v>16</v>
      </c>
      <c r="F307" s="8">
        <v>0.71</v>
      </c>
      <c r="G307" s="4">
        <v>60</v>
      </c>
      <c r="H307" s="8">
        <v>2.67</v>
      </c>
      <c r="I307" s="4">
        <v>0</v>
      </c>
    </row>
    <row r="308" spans="1:9" x14ac:dyDescent="0.2">
      <c r="A308" s="2">
        <v>13</v>
      </c>
      <c r="B308" s="1" t="s">
        <v>157</v>
      </c>
      <c r="C308" s="4">
        <v>68</v>
      </c>
      <c r="D308" s="8">
        <v>1.5</v>
      </c>
      <c r="E308" s="4">
        <v>7</v>
      </c>
      <c r="F308" s="8">
        <v>0.31</v>
      </c>
      <c r="G308" s="4">
        <v>61</v>
      </c>
      <c r="H308" s="8">
        <v>2.72</v>
      </c>
      <c r="I308" s="4">
        <v>0</v>
      </c>
    </row>
    <row r="309" spans="1:9" x14ac:dyDescent="0.2">
      <c r="A309" s="2">
        <v>13</v>
      </c>
      <c r="B309" s="1" t="s">
        <v>161</v>
      </c>
      <c r="C309" s="4">
        <v>68</v>
      </c>
      <c r="D309" s="8">
        <v>1.5</v>
      </c>
      <c r="E309" s="4">
        <v>14</v>
      </c>
      <c r="F309" s="8">
        <v>0.62</v>
      </c>
      <c r="G309" s="4">
        <v>54</v>
      </c>
      <c r="H309" s="8">
        <v>2.4</v>
      </c>
      <c r="I309" s="4">
        <v>0</v>
      </c>
    </row>
    <row r="310" spans="1:9" x14ac:dyDescent="0.2">
      <c r="A310" s="2">
        <v>13</v>
      </c>
      <c r="B310" s="1" t="s">
        <v>178</v>
      </c>
      <c r="C310" s="4">
        <v>68</v>
      </c>
      <c r="D310" s="8">
        <v>1.5</v>
      </c>
      <c r="E310" s="4">
        <v>30</v>
      </c>
      <c r="F310" s="8">
        <v>1.34</v>
      </c>
      <c r="G310" s="4">
        <v>36</v>
      </c>
      <c r="H310" s="8">
        <v>1.6</v>
      </c>
      <c r="I310" s="4">
        <v>0</v>
      </c>
    </row>
    <row r="311" spans="1:9" x14ac:dyDescent="0.2">
      <c r="A311" s="2">
        <v>16</v>
      </c>
      <c r="B311" s="1" t="s">
        <v>166</v>
      </c>
      <c r="C311" s="4">
        <v>63</v>
      </c>
      <c r="D311" s="8">
        <v>1.39</v>
      </c>
      <c r="E311" s="4">
        <v>14</v>
      </c>
      <c r="F311" s="8">
        <v>0.62</v>
      </c>
      <c r="G311" s="4">
        <v>49</v>
      </c>
      <c r="H311" s="8">
        <v>2.1800000000000002</v>
      </c>
      <c r="I311" s="4">
        <v>0</v>
      </c>
    </row>
    <row r="312" spans="1:9" x14ac:dyDescent="0.2">
      <c r="A312" s="2">
        <v>17</v>
      </c>
      <c r="B312" s="1" t="s">
        <v>160</v>
      </c>
      <c r="C312" s="4">
        <v>62</v>
      </c>
      <c r="D312" s="8">
        <v>1.37</v>
      </c>
      <c r="E312" s="4">
        <v>21</v>
      </c>
      <c r="F312" s="8">
        <v>0.93</v>
      </c>
      <c r="G312" s="4">
        <v>41</v>
      </c>
      <c r="H312" s="8">
        <v>1.83</v>
      </c>
      <c r="I312" s="4">
        <v>0</v>
      </c>
    </row>
    <row r="313" spans="1:9" x14ac:dyDescent="0.2">
      <c r="A313" s="2">
        <v>18</v>
      </c>
      <c r="B313" s="1" t="s">
        <v>162</v>
      </c>
      <c r="C313" s="4">
        <v>61</v>
      </c>
      <c r="D313" s="8">
        <v>1.34</v>
      </c>
      <c r="E313" s="4">
        <v>44</v>
      </c>
      <c r="F313" s="8">
        <v>1.96</v>
      </c>
      <c r="G313" s="4">
        <v>17</v>
      </c>
      <c r="H313" s="8">
        <v>0.76</v>
      </c>
      <c r="I313" s="4">
        <v>0</v>
      </c>
    </row>
    <row r="314" spans="1:9" x14ac:dyDescent="0.2">
      <c r="A314" s="2">
        <v>19</v>
      </c>
      <c r="B314" s="1" t="s">
        <v>191</v>
      </c>
      <c r="C314" s="4">
        <v>58</v>
      </c>
      <c r="D314" s="8">
        <v>1.28</v>
      </c>
      <c r="E314" s="4">
        <v>49</v>
      </c>
      <c r="F314" s="8">
        <v>2.1800000000000002</v>
      </c>
      <c r="G314" s="4">
        <v>9</v>
      </c>
      <c r="H314" s="8">
        <v>0.4</v>
      </c>
      <c r="I314" s="4">
        <v>0</v>
      </c>
    </row>
    <row r="315" spans="1:9" x14ac:dyDescent="0.2">
      <c r="A315" s="2">
        <v>20</v>
      </c>
      <c r="B315" s="1" t="s">
        <v>188</v>
      </c>
      <c r="C315" s="4">
        <v>57</v>
      </c>
      <c r="D315" s="8">
        <v>1.26</v>
      </c>
      <c r="E315" s="4">
        <v>39</v>
      </c>
      <c r="F315" s="8">
        <v>1.74</v>
      </c>
      <c r="G315" s="4">
        <v>18</v>
      </c>
      <c r="H315" s="8">
        <v>0.8</v>
      </c>
      <c r="I315" s="4">
        <v>0</v>
      </c>
    </row>
    <row r="316" spans="1:9" x14ac:dyDescent="0.2">
      <c r="A316" s="1"/>
      <c r="C316" s="4"/>
      <c r="D316" s="8"/>
      <c r="E316" s="4"/>
      <c r="F316" s="8"/>
      <c r="G316" s="4"/>
      <c r="H316" s="8"/>
      <c r="I316" s="4"/>
    </row>
    <row r="317" spans="1:9" x14ac:dyDescent="0.2">
      <c r="A317" s="1" t="s">
        <v>14</v>
      </c>
      <c r="C317" s="4"/>
      <c r="D317" s="8"/>
      <c r="E317" s="4"/>
      <c r="F317" s="8"/>
      <c r="G317" s="4"/>
      <c r="H317" s="8"/>
      <c r="I317" s="4"/>
    </row>
    <row r="318" spans="1:9" x14ac:dyDescent="0.2">
      <c r="A318" s="2">
        <v>1</v>
      </c>
      <c r="B318" s="1" t="s">
        <v>167</v>
      </c>
      <c r="C318" s="4">
        <v>590</v>
      </c>
      <c r="D318" s="8">
        <v>4.97</v>
      </c>
      <c r="E318" s="4">
        <v>210</v>
      </c>
      <c r="F318" s="8">
        <v>4.93</v>
      </c>
      <c r="G318" s="4">
        <v>380</v>
      </c>
      <c r="H318" s="8">
        <v>5.0199999999999996</v>
      </c>
      <c r="I318" s="4">
        <v>0</v>
      </c>
    </row>
    <row r="319" spans="1:9" x14ac:dyDescent="0.2">
      <c r="A319" s="2">
        <v>2</v>
      </c>
      <c r="B319" s="1" t="s">
        <v>173</v>
      </c>
      <c r="C319" s="4">
        <v>406</v>
      </c>
      <c r="D319" s="8">
        <v>3.42</v>
      </c>
      <c r="E319" s="4">
        <v>339</v>
      </c>
      <c r="F319" s="8">
        <v>7.97</v>
      </c>
      <c r="G319" s="4">
        <v>67</v>
      </c>
      <c r="H319" s="8">
        <v>0.89</v>
      </c>
      <c r="I319" s="4">
        <v>0</v>
      </c>
    </row>
    <row r="320" spans="1:9" x14ac:dyDescent="0.2">
      <c r="A320" s="2">
        <v>3</v>
      </c>
      <c r="B320" s="1" t="s">
        <v>172</v>
      </c>
      <c r="C320" s="4">
        <v>289</v>
      </c>
      <c r="D320" s="8">
        <v>2.44</v>
      </c>
      <c r="E320" s="4">
        <v>276</v>
      </c>
      <c r="F320" s="8">
        <v>6.48</v>
      </c>
      <c r="G320" s="4">
        <v>13</v>
      </c>
      <c r="H320" s="8">
        <v>0.17</v>
      </c>
      <c r="I320" s="4">
        <v>0</v>
      </c>
    </row>
    <row r="321" spans="1:9" x14ac:dyDescent="0.2">
      <c r="A321" s="2">
        <v>4</v>
      </c>
      <c r="B321" s="1" t="s">
        <v>169</v>
      </c>
      <c r="C321" s="4">
        <v>283</v>
      </c>
      <c r="D321" s="8">
        <v>2.39</v>
      </c>
      <c r="E321" s="4">
        <v>223</v>
      </c>
      <c r="F321" s="8">
        <v>5.24</v>
      </c>
      <c r="G321" s="4">
        <v>60</v>
      </c>
      <c r="H321" s="8">
        <v>0.79</v>
      </c>
      <c r="I321" s="4">
        <v>0</v>
      </c>
    </row>
    <row r="322" spans="1:9" x14ac:dyDescent="0.2">
      <c r="A322" s="2">
        <v>5</v>
      </c>
      <c r="B322" s="1" t="s">
        <v>166</v>
      </c>
      <c r="C322" s="4">
        <v>267</v>
      </c>
      <c r="D322" s="8">
        <v>2.25</v>
      </c>
      <c r="E322" s="4">
        <v>23</v>
      </c>
      <c r="F322" s="8">
        <v>0.54</v>
      </c>
      <c r="G322" s="4">
        <v>244</v>
      </c>
      <c r="H322" s="8">
        <v>3.23</v>
      </c>
      <c r="I322" s="4">
        <v>0</v>
      </c>
    </row>
    <row r="323" spans="1:9" x14ac:dyDescent="0.2">
      <c r="A323" s="2">
        <v>6</v>
      </c>
      <c r="B323" s="1" t="s">
        <v>175</v>
      </c>
      <c r="C323" s="4">
        <v>264</v>
      </c>
      <c r="D323" s="8">
        <v>2.23</v>
      </c>
      <c r="E323" s="4">
        <v>229</v>
      </c>
      <c r="F323" s="8">
        <v>5.38</v>
      </c>
      <c r="G323" s="4">
        <v>35</v>
      </c>
      <c r="H323" s="8">
        <v>0.46</v>
      </c>
      <c r="I323" s="4">
        <v>0</v>
      </c>
    </row>
    <row r="324" spans="1:9" x14ac:dyDescent="0.2">
      <c r="A324" s="2">
        <v>7</v>
      </c>
      <c r="B324" s="1" t="s">
        <v>170</v>
      </c>
      <c r="C324" s="4">
        <v>253</v>
      </c>
      <c r="D324" s="8">
        <v>2.13</v>
      </c>
      <c r="E324" s="4">
        <v>230</v>
      </c>
      <c r="F324" s="8">
        <v>5.4</v>
      </c>
      <c r="G324" s="4">
        <v>23</v>
      </c>
      <c r="H324" s="8">
        <v>0.3</v>
      </c>
      <c r="I324" s="4">
        <v>0</v>
      </c>
    </row>
    <row r="325" spans="1:9" x14ac:dyDescent="0.2">
      <c r="A325" s="2">
        <v>8</v>
      </c>
      <c r="B325" s="1" t="s">
        <v>200</v>
      </c>
      <c r="C325" s="4">
        <v>240</v>
      </c>
      <c r="D325" s="8">
        <v>2.02</v>
      </c>
      <c r="E325" s="4">
        <v>53</v>
      </c>
      <c r="F325" s="8">
        <v>1.25</v>
      </c>
      <c r="G325" s="4">
        <v>187</v>
      </c>
      <c r="H325" s="8">
        <v>2.4700000000000002</v>
      </c>
      <c r="I325" s="4">
        <v>0</v>
      </c>
    </row>
    <row r="326" spans="1:9" x14ac:dyDescent="0.2">
      <c r="A326" s="2">
        <v>9</v>
      </c>
      <c r="B326" s="1" t="s">
        <v>160</v>
      </c>
      <c r="C326" s="4">
        <v>232</v>
      </c>
      <c r="D326" s="8">
        <v>1.96</v>
      </c>
      <c r="E326" s="4">
        <v>40</v>
      </c>
      <c r="F326" s="8">
        <v>0.94</v>
      </c>
      <c r="G326" s="4">
        <v>192</v>
      </c>
      <c r="H326" s="8">
        <v>2.54</v>
      </c>
      <c r="I326" s="4">
        <v>0</v>
      </c>
    </row>
    <row r="327" spans="1:9" x14ac:dyDescent="0.2">
      <c r="A327" s="2">
        <v>10</v>
      </c>
      <c r="B327" s="1" t="s">
        <v>161</v>
      </c>
      <c r="C327" s="4">
        <v>218</v>
      </c>
      <c r="D327" s="8">
        <v>1.84</v>
      </c>
      <c r="E327" s="4">
        <v>29</v>
      </c>
      <c r="F327" s="8">
        <v>0.68</v>
      </c>
      <c r="G327" s="4">
        <v>189</v>
      </c>
      <c r="H327" s="8">
        <v>2.5</v>
      </c>
      <c r="I327" s="4">
        <v>0</v>
      </c>
    </row>
    <row r="328" spans="1:9" x14ac:dyDescent="0.2">
      <c r="A328" s="2">
        <v>11</v>
      </c>
      <c r="B328" s="1" t="s">
        <v>174</v>
      </c>
      <c r="C328" s="4">
        <v>207</v>
      </c>
      <c r="D328" s="8">
        <v>1.75</v>
      </c>
      <c r="E328" s="4">
        <v>154</v>
      </c>
      <c r="F328" s="8">
        <v>3.62</v>
      </c>
      <c r="G328" s="4">
        <v>52</v>
      </c>
      <c r="H328" s="8">
        <v>0.69</v>
      </c>
      <c r="I328" s="4">
        <v>1</v>
      </c>
    </row>
    <row r="329" spans="1:9" x14ac:dyDescent="0.2">
      <c r="A329" s="2">
        <v>12</v>
      </c>
      <c r="B329" s="1" t="s">
        <v>168</v>
      </c>
      <c r="C329" s="4">
        <v>187</v>
      </c>
      <c r="D329" s="8">
        <v>1.58</v>
      </c>
      <c r="E329" s="4">
        <v>5</v>
      </c>
      <c r="F329" s="8">
        <v>0.12</v>
      </c>
      <c r="G329" s="4">
        <v>181</v>
      </c>
      <c r="H329" s="8">
        <v>2.39</v>
      </c>
      <c r="I329" s="4">
        <v>1</v>
      </c>
    </row>
    <row r="330" spans="1:9" x14ac:dyDescent="0.2">
      <c r="A330" s="2">
        <v>13</v>
      </c>
      <c r="B330" s="1" t="s">
        <v>164</v>
      </c>
      <c r="C330" s="4">
        <v>182</v>
      </c>
      <c r="D330" s="8">
        <v>1.53</v>
      </c>
      <c r="E330" s="4">
        <v>116</v>
      </c>
      <c r="F330" s="8">
        <v>2.73</v>
      </c>
      <c r="G330" s="4">
        <v>66</v>
      </c>
      <c r="H330" s="8">
        <v>0.87</v>
      </c>
      <c r="I330" s="4">
        <v>0</v>
      </c>
    </row>
    <row r="331" spans="1:9" x14ac:dyDescent="0.2">
      <c r="A331" s="2">
        <v>14</v>
      </c>
      <c r="B331" s="1" t="s">
        <v>158</v>
      </c>
      <c r="C331" s="4">
        <v>169</v>
      </c>
      <c r="D331" s="8">
        <v>1.42</v>
      </c>
      <c r="E331" s="4">
        <v>13</v>
      </c>
      <c r="F331" s="8">
        <v>0.31</v>
      </c>
      <c r="G331" s="4">
        <v>156</v>
      </c>
      <c r="H331" s="8">
        <v>2.06</v>
      </c>
      <c r="I331" s="4">
        <v>0</v>
      </c>
    </row>
    <row r="332" spans="1:9" x14ac:dyDescent="0.2">
      <c r="A332" s="2">
        <v>15</v>
      </c>
      <c r="B332" s="1" t="s">
        <v>197</v>
      </c>
      <c r="C332" s="4">
        <v>160</v>
      </c>
      <c r="D332" s="8">
        <v>1.35</v>
      </c>
      <c r="E332" s="4">
        <v>20</v>
      </c>
      <c r="F332" s="8">
        <v>0.47</v>
      </c>
      <c r="G332" s="4">
        <v>140</v>
      </c>
      <c r="H332" s="8">
        <v>1.85</v>
      </c>
      <c r="I332" s="4">
        <v>0</v>
      </c>
    </row>
    <row r="333" spans="1:9" x14ac:dyDescent="0.2">
      <c r="A333" s="2">
        <v>15</v>
      </c>
      <c r="B333" s="1" t="s">
        <v>182</v>
      </c>
      <c r="C333" s="4">
        <v>160</v>
      </c>
      <c r="D333" s="8">
        <v>1.35</v>
      </c>
      <c r="E333" s="4">
        <v>19</v>
      </c>
      <c r="F333" s="8">
        <v>0.45</v>
      </c>
      <c r="G333" s="4">
        <v>141</v>
      </c>
      <c r="H333" s="8">
        <v>1.86</v>
      </c>
      <c r="I333" s="4">
        <v>0</v>
      </c>
    </row>
    <row r="334" spans="1:9" x14ac:dyDescent="0.2">
      <c r="A334" s="2">
        <v>17</v>
      </c>
      <c r="B334" s="1" t="s">
        <v>157</v>
      </c>
      <c r="C334" s="4">
        <v>158</v>
      </c>
      <c r="D334" s="8">
        <v>1.33</v>
      </c>
      <c r="E334" s="4">
        <v>10</v>
      </c>
      <c r="F334" s="8">
        <v>0.23</v>
      </c>
      <c r="G334" s="4">
        <v>148</v>
      </c>
      <c r="H334" s="8">
        <v>1.96</v>
      </c>
      <c r="I334" s="4">
        <v>0</v>
      </c>
    </row>
    <row r="335" spans="1:9" x14ac:dyDescent="0.2">
      <c r="A335" s="2">
        <v>18</v>
      </c>
      <c r="B335" s="1" t="s">
        <v>171</v>
      </c>
      <c r="C335" s="4">
        <v>153</v>
      </c>
      <c r="D335" s="8">
        <v>1.29</v>
      </c>
      <c r="E335" s="4">
        <v>97</v>
      </c>
      <c r="F335" s="8">
        <v>2.2799999999999998</v>
      </c>
      <c r="G335" s="4">
        <v>56</v>
      </c>
      <c r="H335" s="8">
        <v>0.74</v>
      </c>
      <c r="I335" s="4">
        <v>0</v>
      </c>
    </row>
    <row r="336" spans="1:9" x14ac:dyDescent="0.2">
      <c r="A336" s="2">
        <v>19</v>
      </c>
      <c r="B336" s="1" t="s">
        <v>165</v>
      </c>
      <c r="C336" s="4">
        <v>151</v>
      </c>
      <c r="D336" s="8">
        <v>1.27</v>
      </c>
      <c r="E336" s="4">
        <v>25</v>
      </c>
      <c r="F336" s="8">
        <v>0.59</v>
      </c>
      <c r="G336" s="4">
        <v>126</v>
      </c>
      <c r="H336" s="8">
        <v>1.67</v>
      </c>
      <c r="I336" s="4">
        <v>0</v>
      </c>
    </row>
    <row r="337" spans="1:9" x14ac:dyDescent="0.2">
      <c r="A337" s="2">
        <v>20</v>
      </c>
      <c r="B337" s="1" t="s">
        <v>177</v>
      </c>
      <c r="C337" s="4">
        <v>147</v>
      </c>
      <c r="D337" s="8">
        <v>1.24</v>
      </c>
      <c r="E337" s="4">
        <v>21</v>
      </c>
      <c r="F337" s="8">
        <v>0.49</v>
      </c>
      <c r="G337" s="4">
        <v>126</v>
      </c>
      <c r="H337" s="8">
        <v>1.67</v>
      </c>
      <c r="I337" s="4">
        <v>0</v>
      </c>
    </row>
    <row r="338" spans="1:9" x14ac:dyDescent="0.2">
      <c r="A338" s="1"/>
      <c r="C338" s="4"/>
      <c r="D338" s="8"/>
      <c r="E338" s="4"/>
      <c r="F338" s="8"/>
      <c r="G338" s="4"/>
      <c r="H338" s="8"/>
      <c r="I338" s="4"/>
    </row>
    <row r="339" spans="1:9" x14ac:dyDescent="0.2">
      <c r="A339" s="1" t="s">
        <v>15</v>
      </c>
      <c r="C339" s="4"/>
      <c r="D339" s="8"/>
      <c r="E339" s="4"/>
      <c r="F339" s="8"/>
      <c r="G339" s="4"/>
      <c r="H339" s="8"/>
      <c r="I339" s="4"/>
    </row>
    <row r="340" spans="1:9" x14ac:dyDescent="0.2">
      <c r="A340" s="2">
        <v>1</v>
      </c>
      <c r="B340" s="1" t="s">
        <v>173</v>
      </c>
      <c r="C340" s="4">
        <v>99</v>
      </c>
      <c r="D340" s="8">
        <v>5.49</v>
      </c>
      <c r="E340" s="4">
        <v>90</v>
      </c>
      <c r="F340" s="8">
        <v>9.14</v>
      </c>
      <c r="G340" s="4">
        <v>9</v>
      </c>
      <c r="H340" s="8">
        <v>1.1299999999999999</v>
      </c>
      <c r="I340" s="4">
        <v>0</v>
      </c>
    </row>
    <row r="341" spans="1:9" x14ac:dyDescent="0.2">
      <c r="A341" s="2">
        <v>2</v>
      </c>
      <c r="B341" s="1" t="s">
        <v>172</v>
      </c>
      <c r="C341" s="4">
        <v>66</v>
      </c>
      <c r="D341" s="8">
        <v>3.66</v>
      </c>
      <c r="E341" s="4">
        <v>64</v>
      </c>
      <c r="F341" s="8">
        <v>6.5</v>
      </c>
      <c r="G341" s="4">
        <v>2</v>
      </c>
      <c r="H341" s="8">
        <v>0.25</v>
      </c>
      <c r="I341" s="4">
        <v>0</v>
      </c>
    </row>
    <row r="342" spans="1:9" x14ac:dyDescent="0.2">
      <c r="A342" s="2">
        <v>3</v>
      </c>
      <c r="B342" s="1" t="s">
        <v>169</v>
      </c>
      <c r="C342" s="4">
        <v>56</v>
      </c>
      <c r="D342" s="8">
        <v>3.11</v>
      </c>
      <c r="E342" s="4">
        <v>43</v>
      </c>
      <c r="F342" s="8">
        <v>4.37</v>
      </c>
      <c r="G342" s="4">
        <v>13</v>
      </c>
      <c r="H342" s="8">
        <v>1.64</v>
      </c>
      <c r="I342" s="4">
        <v>0</v>
      </c>
    </row>
    <row r="343" spans="1:9" x14ac:dyDescent="0.2">
      <c r="A343" s="2">
        <v>4</v>
      </c>
      <c r="B343" s="1" t="s">
        <v>176</v>
      </c>
      <c r="C343" s="4">
        <v>46</v>
      </c>
      <c r="D343" s="8">
        <v>2.5499999999999998</v>
      </c>
      <c r="E343" s="4">
        <v>36</v>
      </c>
      <c r="F343" s="8">
        <v>3.65</v>
      </c>
      <c r="G343" s="4">
        <v>10</v>
      </c>
      <c r="H343" s="8">
        <v>1.26</v>
      </c>
      <c r="I343" s="4">
        <v>0</v>
      </c>
    </row>
    <row r="344" spans="1:9" x14ac:dyDescent="0.2">
      <c r="A344" s="2">
        <v>5</v>
      </c>
      <c r="B344" s="1" t="s">
        <v>163</v>
      </c>
      <c r="C344" s="4">
        <v>40</v>
      </c>
      <c r="D344" s="8">
        <v>2.2200000000000002</v>
      </c>
      <c r="E344" s="4">
        <v>17</v>
      </c>
      <c r="F344" s="8">
        <v>1.73</v>
      </c>
      <c r="G344" s="4">
        <v>23</v>
      </c>
      <c r="H344" s="8">
        <v>2.89</v>
      </c>
      <c r="I344" s="4">
        <v>0</v>
      </c>
    </row>
    <row r="345" spans="1:9" x14ac:dyDescent="0.2">
      <c r="A345" s="2">
        <v>6</v>
      </c>
      <c r="B345" s="1" t="s">
        <v>166</v>
      </c>
      <c r="C345" s="4">
        <v>38</v>
      </c>
      <c r="D345" s="8">
        <v>2.11</v>
      </c>
      <c r="E345" s="4">
        <v>6</v>
      </c>
      <c r="F345" s="8">
        <v>0.61</v>
      </c>
      <c r="G345" s="4">
        <v>32</v>
      </c>
      <c r="H345" s="8">
        <v>4.03</v>
      </c>
      <c r="I345" s="4">
        <v>0</v>
      </c>
    </row>
    <row r="346" spans="1:9" x14ac:dyDescent="0.2">
      <c r="A346" s="2">
        <v>6</v>
      </c>
      <c r="B346" s="1" t="s">
        <v>175</v>
      </c>
      <c r="C346" s="4">
        <v>38</v>
      </c>
      <c r="D346" s="8">
        <v>2.11</v>
      </c>
      <c r="E346" s="4">
        <v>36</v>
      </c>
      <c r="F346" s="8">
        <v>3.65</v>
      </c>
      <c r="G346" s="4">
        <v>2</v>
      </c>
      <c r="H346" s="8">
        <v>0.25</v>
      </c>
      <c r="I346" s="4">
        <v>0</v>
      </c>
    </row>
    <row r="347" spans="1:9" x14ac:dyDescent="0.2">
      <c r="A347" s="2">
        <v>8</v>
      </c>
      <c r="B347" s="1" t="s">
        <v>174</v>
      </c>
      <c r="C347" s="4">
        <v>37</v>
      </c>
      <c r="D347" s="8">
        <v>2.0499999999999998</v>
      </c>
      <c r="E347" s="4">
        <v>32</v>
      </c>
      <c r="F347" s="8">
        <v>3.25</v>
      </c>
      <c r="G347" s="4">
        <v>5</v>
      </c>
      <c r="H347" s="8">
        <v>0.63</v>
      </c>
      <c r="I347" s="4">
        <v>0</v>
      </c>
    </row>
    <row r="348" spans="1:9" x14ac:dyDescent="0.2">
      <c r="A348" s="2">
        <v>9</v>
      </c>
      <c r="B348" s="1" t="s">
        <v>162</v>
      </c>
      <c r="C348" s="4">
        <v>34</v>
      </c>
      <c r="D348" s="8">
        <v>1.89</v>
      </c>
      <c r="E348" s="4">
        <v>23</v>
      </c>
      <c r="F348" s="8">
        <v>2.34</v>
      </c>
      <c r="G348" s="4">
        <v>11</v>
      </c>
      <c r="H348" s="8">
        <v>1.38</v>
      </c>
      <c r="I348" s="4">
        <v>0</v>
      </c>
    </row>
    <row r="349" spans="1:9" x14ac:dyDescent="0.2">
      <c r="A349" s="2">
        <v>10</v>
      </c>
      <c r="B349" s="1" t="s">
        <v>170</v>
      </c>
      <c r="C349" s="4">
        <v>32</v>
      </c>
      <c r="D349" s="8">
        <v>1.78</v>
      </c>
      <c r="E349" s="4">
        <v>30</v>
      </c>
      <c r="F349" s="8">
        <v>3.05</v>
      </c>
      <c r="G349" s="4">
        <v>2</v>
      </c>
      <c r="H349" s="8">
        <v>0.25</v>
      </c>
      <c r="I349" s="4">
        <v>0</v>
      </c>
    </row>
    <row r="350" spans="1:9" x14ac:dyDescent="0.2">
      <c r="A350" s="2">
        <v>11</v>
      </c>
      <c r="B350" s="1" t="s">
        <v>159</v>
      </c>
      <c r="C350" s="4">
        <v>31</v>
      </c>
      <c r="D350" s="8">
        <v>1.72</v>
      </c>
      <c r="E350" s="4">
        <v>25</v>
      </c>
      <c r="F350" s="8">
        <v>2.54</v>
      </c>
      <c r="G350" s="4">
        <v>6</v>
      </c>
      <c r="H350" s="8">
        <v>0.75</v>
      </c>
      <c r="I350" s="4">
        <v>0</v>
      </c>
    </row>
    <row r="351" spans="1:9" x14ac:dyDescent="0.2">
      <c r="A351" s="2">
        <v>12</v>
      </c>
      <c r="B351" s="1" t="s">
        <v>160</v>
      </c>
      <c r="C351" s="4">
        <v>29</v>
      </c>
      <c r="D351" s="8">
        <v>1.61</v>
      </c>
      <c r="E351" s="4">
        <v>15</v>
      </c>
      <c r="F351" s="8">
        <v>1.52</v>
      </c>
      <c r="G351" s="4">
        <v>14</v>
      </c>
      <c r="H351" s="8">
        <v>1.76</v>
      </c>
      <c r="I351" s="4">
        <v>0</v>
      </c>
    </row>
    <row r="352" spans="1:9" x14ac:dyDescent="0.2">
      <c r="A352" s="2">
        <v>13</v>
      </c>
      <c r="B352" s="1" t="s">
        <v>167</v>
      </c>
      <c r="C352" s="4">
        <v>28</v>
      </c>
      <c r="D352" s="8">
        <v>1.55</v>
      </c>
      <c r="E352" s="4">
        <v>13</v>
      </c>
      <c r="F352" s="8">
        <v>1.32</v>
      </c>
      <c r="G352" s="4">
        <v>15</v>
      </c>
      <c r="H352" s="8">
        <v>1.89</v>
      </c>
      <c r="I352" s="4">
        <v>0</v>
      </c>
    </row>
    <row r="353" spans="1:9" x14ac:dyDescent="0.2">
      <c r="A353" s="2">
        <v>14</v>
      </c>
      <c r="B353" s="1" t="s">
        <v>185</v>
      </c>
      <c r="C353" s="4">
        <v>25</v>
      </c>
      <c r="D353" s="8">
        <v>1.39</v>
      </c>
      <c r="E353" s="4">
        <v>6</v>
      </c>
      <c r="F353" s="8">
        <v>0.61</v>
      </c>
      <c r="G353" s="4">
        <v>19</v>
      </c>
      <c r="H353" s="8">
        <v>2.39</v>
      </c>
      <c r="I353" s="4">
        <v>0</v>
      </c>
    </row>
    <row r="354" spans="1:9" x14ac:dyDescent="0.2">
      <c r="A354" s="2">
        <v>15</v>
      </c>
      <c r="B354" s="1" t="s">
        <v>182</v>
      </c>
      <c r="C354" s="4">
        <v>24</v>
      </c>
      <c r="D354" s="8">
        <v>1.33</v>
      </c>
      <c r="E354" s="4">
        <v>14</v>
      </c>
      <c r="F354" s="8">
        <v>1.42</v>
      </c>
      <c r="G354" s="4">
        <v>10</v>
      </c>
      <c r="H354" s="8">
        <v>1.26</v>
      </c>
      <c r="I354" s="4">
        <v>0</v>
      </c>
    </row>
    <row r="355" spans="1:9" x14ac:dyDescent="0.2">
      <c r="A355" s="2">
        <v>16</v>
      </c>
      <c r="B355" s="1" t="s">
        <v>158</v>
      </c>
      <c r="C355" s="4">
        <v>23</v>
      </c>
      <c r="D355" s="8">
        <v>1.28</v>
      </c>
      <c r="E355" s="4">
        <v>8</v>
      </c>
      <c r="F355" s="8">
        <v>0.81</v>
      </c>
      <c r="G355" s="4">
        <v>15</v>
      </c>
      <c r="H355" s="8">
        <v>1.89</v>
      </c>
      <c r="I355" s="4">
        <v>0</v>
      </c>
    </row>
    <row r="356" spans="1:9" x14ac:dyDescent="0.2">
      <c r="A356" s="2">
        <v>16</v>
      </c>
      <c r="B356" s="1" t="s">
        <v>202</v>
      </c>
      <c r="C356" s="4">
        <v>23</v>
      </c>
      <c r="D356" s="8">
        <v>1.28</v>
      </c>
      <c r="E356" s="4">
        <v>17</v>
      </c>
      <c r="F356" s="8">
        <v>1.73</v>
      </c>
      <c r="G356" s="4">
        <v>6</v>
      </c>
      <c r="H356" s="8">
        <v>0.75</v>
      </c>
      <c r="I356" s="4">
        <v>0</v>
      </c>
    </row>
    <row r="357" spans="1:9" x14ac:dyDescent="0.2">
      <c r="A357" s="2">
        <v>16</v>
      </c>
      <c r="B357" s="1" t="s">
        <v>203</v>
      </c>
      <c r="C357" s="4">
        <v>23</v>
      </c>
      <c r="D357" s="8">
        <v>1.28</v>
      </c>
      <c r="E357" s="4">
        <v>18</v>
      </c>
      <c r="F357" s="8">
        <v>1.83</v>
      </c>
      <c r="G357" s="4">
        <v>5</v>
      </c>
      <c r="H357" s="8">
        <v>0.63</v>
      </c>
      <c r="I357" s="4">
        <v>0</v>
      </c>
    </row>
    <row r="358" spans="1:9" x14ac:dyDescent="0.2">
      <c r="A358" s="2">
        <v>16</v>
      </c>
      <c r="B358" s="1" t="s">
        <v>164</v>
      </c>
      <c r="C358" s="4">
        <v>23</v>
      </c>
      <c r="D358" s="8">
        <v>1.28</v>
      </c>
      <c r="E358" s="4">
        <v>10</v>
      </c>
      <c r="F358" s="8">
        <v>1.02</v>
      </c>
      <c r="G358" s="4">
        <v>13</v>
      </c>
      <c r="H358" s="8">
        <v>1.64</v>
      </c>
      <c r="I358" s="4">
        <v>0</v>
      </c>
    </row>
    <row r="359" spans="1:9" x14ac:dyDescent="0.2">
      <c r="A359" s="2">
        <v>16</v>
      </c>
      <c r="B359" s="1" t="s">
        <v>171</v>
      </c>
      <c r="C359" s="4">
        <v>23</v>
      </c>
      <c r="D359" s="8">
        <v>1.28</v>
      </c>
      <c r="E359" s="4">
        <v>15</v>
      </c>
      <c r="F359" s="8">
        <v>1.52</v>
      </c>
      <c r="G359" s="4">
        <v>8</v>
      </c>
      <c r="H359" s="8">
        <v>1.01</v>
      </c>
      <c r="I359" s="4">
        <v>0</v>
      </c>
    </row>
    <row r="360" spans="1:9" x14ac:dyDescent="0.2">
      <c r="A360" s="1"/>
      <c r="C360" s="4"/>
      <c r="D360" s="8"/>
      <c r="E360" s="4"/>
      <c r="F360" s="8"/>
      <c r="G360" s="4"/>
      <c r="H360" s="8"/>
      <c r="I360" s="4"/>
    </row>
    <row r="361" spans="1:9" x14ac:dyDescent="0.2">
      <c r="A361" s="1" t="s">
        <v>16</v>
      </c>
      <c r="C361" s="4"/>
      <c r="D361" s="8"/>
      <c r="E361" s="4"/>
      <c r="F361" s="8"/>
      <c r="G361" s="4"/>
      <c r="H361" s="8"/>
      <c r="I361" s="4"/>
    </row>
    <row r="362" spans="1:9" x14ac:dyDescent="0.2">
      <c r="A362" s="2">
        <v>1</v>
      </c>
      <c r="B362" s="1" t="s">
        <v>173</v>
      </c>
      <c r="C362" s="4">
        <v>124</v>
      </c>
      <c r="D362" s="8">
        <v>6.21</v>
      </c>
      <c r="E362" s="4">
        <v>117</v>
      </c>
      <c r="F362" s="8">
        <v>9.75</v>
      </c>
      <c r="G362" s="4">
        <v>7</v>
      </c>
      <c r="H362" s="8">
        <v>0.91</v>
      </c>
      <c r="I362" s="4">
        <v>0</v>
      </c>
    </row>
    <row r="363" spans="1:9" x14ac:dyDescent="0.2">
      <c r="A363" s="2">
        <v>2</v>
      </c>
      <c r="B363" s="1" t="s">
        <v>167</v>
      </c>
      <c r="C363" s="4">
        <v>75</v>
      </c>
      <c r="D363" s="8">
        <v>3.76</v>
      </c>
      <c r="E363" s="4">
        <v>52</v>
      </c>
      <c r="F363" s="8">
        <v>4.33</v>
      </c>
      <c r="G363" s="4">
        <v>23</v>
      </c>
      <c r="H363" s="8">
        <v>2.99</v>
      </c>
      <c r="I363" s="4">
        <v>0</v>
      </c>
    </row>
    <row r="364" spans="1:9" x14ac:dyDescent="0.2">
      <c r="A364" s="2">
        <v>3</v>
      </c>
      <c r="B364" s="1" t="s">
        <v>169</v>
      </c>
      <c r="C364" s="4">
        <v>74</v>
      </c>
      <c r="D364" s="8">
        <v>3.71</v>
      </c>
      <c r="E364" s="4">
        <v>66</v>
      </c>
      <c r="F364" s="8">
        <v>5.5</v>
      </c>
      <c r="G364" s="4">
        <v>8</v>
      </c>
      <c r="H364" s="8">
        <v>1.04</v>
      </c>
      <c r="I364" s="4">
        <v>0</v>
      </c>
    </row>
    <row r="365" spans="1:9" x14ac:dyDescent="0.2">
      <c r="A365" s="2">
        <v>4</v>
      </c>
      <c r="B365" s="1" t="s">
        <v>159</v>
      </c>
      <c r="C365" s="4">
        <v>67</v>
      </c>
      <c r="D365" s="8">
        <v>3.36</v>
      </c>
      <c r="E365" s="4">
        <v>46</v>
      </c>
      <c r="F365" s="8">
        <v>3.83</v>
      </c>
      <c r="G365" s="4">
        <v>21</v>
      </c>
      <c r="H365" s="8">
        <v>2.73</v>
      </c>
      <c r="I365" s="4">
        <v>0</v>
      </c>
    </row>
    <row r="366" spans="1:9" x14ac:dyDescent="0.2">
      <c r="A366" s="2">
        <v>5</v>
      </c>
      <c r="B366" s="1" t="s">
        <v>170</v>
      </c>
      <c r="C366" s="4">
        <v>64</v>
      </c>
      <c r="D366" s="8">
        <v>3.2</v>
      </c>
      <c r="E366" s="4">
        <v>58</v>
      </c>
      <c r="F366" s="8">
        <v>4.83</v>
      </c>
      <c r="G366" s="4">
        <v>6</v>
      </c>
      <c r="H366" s="8">
        <v>0.78</v>
      </c>
      <c r="I366" s="4">
        <v>0</v>
      </c>
    </row>
    <row r="367" spans="1:9" x14ac:dyDescent="0.2">
      <c r="A367" s="2">
        <v>5</v>
      </c>
      <c r="B367" s="1" t="s">
        <v>172</v>
      </c>
      <c r="C367" s="4">
        <v>64</v>
      </c>
      <c r="D367" s="8">
        <v>3.2</v>
      </c>
      <c r="E367" s="4">
        <v>63</v>
      </c>
      <c r="F367" s="8">
        <v>5.25</v>
      </c>
      <c r="G367" s="4">
        <v>1</v>
      </c>
      <c r="H367" s="8">
        <v>0.13</v>
      </c>
      <c r="I367" s="4">
        <v>0</v>
      </c>
    </row>
    <row r="368" spans="1:9" x14ac:dyDescent="0.2">
      <c r="A368" s="2">
        <v>7</v>
      </c>
      <c r="B368" s="1" t="s">
        <v>175</v>
      </c>
      <c r="C368" s="4">
        <v>50</v>
      </c>
      <c r="D368" s="8">
        <v>2.5</v>
      </c>
      <c r="E368" s="4">
        <v>45</v>
      </c>
      <c r="F368" s="8">
        <v>3.75</v>
      </c>
      <c r="G368" s="4">
        <v>5</v>
      </c>
      <c r="H368" s="8">
        <v>0.65</v>
      </c>
      <c r="I368" s="4">
        <v>0</v>
      </c>
    </row>
    <row r="369" spans="1:9" x14ac:dyDescent="0.2">
      <c r="A369" s="2">
        <v>8</v>
      </c>
      <c r="B369" s="1" t="s">
        <v>163</v>
      </c>
      <c r="C369" s="4">
        <v>45</v>
      </c>
      <c r="D369" s="8">
        <v>2.25</v>
      </c>
      <c r="E369" s="4">
        <v>26</v>
      </c>
      <c r="F369" s="8">
        <v>2.17</v>
      </c>
      <c r="G369" s="4">
        <v>19</v>
      </c>
      <c r="H369" s="8">
        <v>2.4700000000000002</v>
      </c>
      <c r="I369" s="4">
        <v>0</v>
      </c>
    </row>
    <row r="370" spans="1:9" x14ac:dyDescent="0.2">
      <c r="A370" s="2">
        <v>8</v>
      </c>
      <c r="B370" s="1" t="s">
        <v>206</v>
      </c>
      <c r="C370" s="4">
        <v>45</v>
      </c>
      <c r="D370" s="8">
        <v>2.25</v>
      </c>
      <c r="E370" s="4">
        <v>34</v>
      </c>
      <c r="F370" s="8">
        <v>2.83</v>
      </c>
      <c r="G370" s="4">
        <v>10</v>
      </c>
      <c r="H370" s="8">
        <v>1.3</v>
      </c>
      <c r="I370" s="4">
        <v>1</v>
      </c>
    </row>
    <row r="371" spans="1:9" x14ac:dyDescent="0.2">
      <c r="A371" s="2">
        <v>10</v>
      </c>
      <c r="B371" s="1" t="s">
        <v>191</v>
      </c>
      <c r="C371" s="4">
        <v>42</v>
      </c>
      <c r="D371" s="8">
        <v>2.1</v>
      </c>
      <c r="E371" s="4">
        <v>37</v>
      </c>
      <c r="F371" s="8">
        <v>3.08</v>
      </c>
      <c r="G371" s="4">
        <v>5</v>
      </c>
      <c r="H371" s="8">
        <v>0.65</v>
      </c>
      <c r="I371" s="4">
        <v>0</v>
      </c>
    </row>
    <row r="372" spans="1:9" x14ac:dyDescent="0.2">
      <c r="A372" s="2">
        <v>11</v>
      </c>
      <c r="B372" s="1" t="s">
        <v>164</v>
      </c>
      <c r="C372" s="4">
        <v>40</v>
      </c>
      <c r="D372" s="8">
        <v>2</v>
      </c>
      <c r="E372" s="4">
        <v>28</v>
      </c>
      <c r="F372" s="8">
        <v>2.33</v>
      </c>
      <c r="G372" s="4">
        <v>12</v>
      </c>
      <c r="H372" s="8">
        <v>1.56</v>
      </c>
      <c r="I372" s="4">
        <v>0</v>
      </c>
    </row>
    <row r="373" spans="1:9" x14ac:dyDescent="0.2">
      <c r="A373" s="2">
        <v>12</v>
      </c>
      <c r="B373" s="1" t="s">
        <v>188</v>
      </c>
      <c r="C373" s="4">
        <v>39</v>
      </c>
      <c r="D373" s="8">
        <v>1.95</v>
      </c>
      <c r="E373" s="4">
        <v>29</v>
      </c>
      <c r="F373" s="8">
        <v>2.42</v>
      </c>
      <c r="G373" s="4">
        <v>10</v>
      </c>
      <c r="H373" s="8">
        <v>1.3</v>
      </c>
      <c r="I373" s="4">
        <v>0</v>
      </c>
    </row>
    <row r="374" spans="1:9" x14ac:dyDescent="0.2">
      <c r="A374" s="2">
        <v>12</v>
      </c>
      <c r="B374" s="1" t="s">
        <v>174</v>
      </c>
      <c r="C374" s="4">
        <v>39</v>
      </c>
      <c r="D374" s="8">
        <v>1.95</v>
      </c>
      <c r="E374" s="4">
        <v>30</v>
      </c>
      <c r="F374" s="8">
        <v>2.5</v>
      </c>
      <c r="G374" s="4">
        <v>8</v>
      </c>
      <c r="H374" s="8">
        <v>1.04</v>
      </c>
      <c r="I374" s="4">
        <v>1</v>
      </c>
    </row>
    <row r="375" spans="1:9" x14ac:dyDescent="0.2">
      <c r="A375" s="2">
        <v>14</v>
      </c>
      <c r="B375" s="1" t="s">
        <v>176</v>
      </c>
      <c r="C375" s="4">
        <v>37</v>
      </c>
      <c r="D375" s="8">
        <v>1.85</v>
      </c>
      <c r="E375" s="4">
        <v>26</v>
      </c>
      <c r="F375" s="8">
        <v>2.17</v>
      </c>
      <c r="G375" s="4">
        <v>11</v>
      </c>
      <c r="H375" s="8">
        <v>1.43</v>
      </c>
      <c r="I375" s="4">
        <v>0</v>
      </c>
    </row>
    <row r="376" spans="1:9" x14ac:dyDescent="0.2">
      <c r="A376" s="2">
        <v>15</v>
      </c>
      <c r="B376" s="1" t="s">
        <v>157</v>
      </c>
      <c r="C376" s="4">
        <v>36</v>
      </c>
      <c r="D376" s="8">
        <v>1.8</v>
      </c>
      <c r="E376" s="4">
        <v>6</v>
      </c>
      <c r="F376" s="8">
        <v>0.5</v>
      </c>
      <c r="G376" s="4">
        <v>30</v>
      </c>
      <c r="H376" s="8">
        <v>3.91</v>
      </c>
      <c r="I376" s="4">
        <v>0</v>
      </c>
    </row>
    <row r="377" spans="1:9" x14ac:dyDescent="0.2">
      <c r="A377" s="2">
        <v>16</v>
      </c>
      <c r="B377" s="1" t="s">
        <v>162</v>
      </c>
      <c r="C377" s="4">
        <v>29</v>
      </c>
      <c r="D377" s="8">
        <v>1.45</v>
      </c>
      <c r="E377" s="4">
        <v>20</v>
      </c>
      <c r="F377" s="8">
        <v>1.67</v>
      </c>
      <c r="G377" s="4">
        <v>9</v>
      </c>
      <c r="H377" s="8">
        <v>1.17</v>
      </c>
      <c r="I377" s="4">
        <v>0</v>
      </c>
    </row>
    <row r="378" spans="1:9" x14ac:dyDescent="0.2">
      <c r="A378" s="2">
        <v>17</v>
      </c>
      <c r="B378" s="1" t="s">
        <v>160</v>
      </c>
      <c r="C378" s="4">
        <v>27</v>
      </c>
      <c r="D378" s="8">
        <v>1.35</v>
      </c>
      <c r="E378" s="4">
        <v>15</v>
      </c>
      <c r="F378" s="8">
        <v>1.25</v>
      </c>
      <c r="G378" s="4">
        <v>12</v>
      </c>
      <c r="H378" s="8">
        <v>1.56</v>
      </c>
      <c r="I378" s="4">
        <v>0</v>
      </c>
    </row>
    <row r="379" spans="1:9" x14ac:dyDescent="0.2">
      <c r="A379" s="2">
        <v>18</v>
      </c>
      <c r="B379" s="1" t="s">
        <v>205</v>
      </c>
      <c r="C379" s="4">
        <v>26</v>
      </c>
      <c r="D379" s="8">
        <v>1.3</v>
      </c>
      <c r="E379" s="4">
        <v>21</v>
      </c>
      <c r="F379" s="8">
        <v>1.75</v>
      </c>
      <c r="G379" s="4">
        <v>5</v>
      </c>
      <c r="H379" s="8">
        <v>0.65</v>
      </c>
      <c r="I379" s="4">
        <v>0</v>
      </c>
    </row>
    <row r="380" spans="1:9" x14ac:dyDescent="0.2">
      <c r="A380" s="2">
        <v>19</v>
      </c>
      <c r="B380" s="1" t="s">
        <v>166</v>
      </c>
      <c r="C380" s="4">
        <v>24</v>
      </c>
      <c r="D380" s="8">
        <v>1.2</v>
      </c>
      <c r="E380" s="4">
        <v>6</v>
      </c>
      <c r="F380" s="8">
        <v>0.5</v>
      </c>
      <c r="G380" s="4">
        <v>18</v>
      </c>
      <c r="H380" s="8">
        <v>2.34</v>
      </c>
      <c r="I380" s="4">
        <v>0</v>
      </c>
    </row>
    <row r="381" spans="1:9" x14ac:dyDescent="0.2">
      <c r="A381" s="2">
        <v>20</v>
      </c>
      <c r="B381" s="1" t="s">
        <v>158</v>
      </c>
      <c r="C381" s="4">
        <v>23</v>
      </c>
      <c r="D381" s="8">
        <v>1.1499999999999999</v>
      </c>
      <c r="E381" s="4">
        <v>6</v>
      </c>
      <c r="F381" s="8">
        <v>0.5</v>
      </c>
      <c r="G381" s="4">
        <v>17</v>
      </c>
      <c r="H381" s="8">
        <v>2.21</v>
      </c>
      <c r="I381" s="4">
        <v>0</v>
      </c>
    </row>
    <row r="382" spans="1:9" x14ac:dyDescent="0.2">
      <c r="A382" s="2">
        <v>20</v>
      </c>
      <c r="B382" s="1" t="s">
        <v>204</v>
      </c>
      <c r="C382" s="4">
        <v>23</v>
      </c>
      <c r="D382" s="8">
        <v>1.1499999999999999</v>
      </c>
      <c r="E382" s="4">
        <v>4</v>
      </c>
      <c r="F382" s="8">
        <v>0.33</v>
      </c>
      <c r="G382" s="4">
        <v>19</v>
      </c>
      <c r="H382" s="8">
        <v>2.4700000000000002</v>
      </c>
      <c r="I382" s="4">
        <v>0</v>
      </c>
    </row>
    <row r="383" spans="1:9" x14ac:dyDescent="0.2">
      <c r="A383" s="2">
        <v>20</v>
      </c>
      <c r="B383" s="1" t="s">
        <v>185</v>
      </c>
      <c r="C383" s="4">
        <v>23</v>
      </c>
      <c r="D383" s="8">
        <v>1.1499999999999999</v>
      </c>
      <c r="E383" s="4">
        <v>5</v>
      </c>
      <c r="F383" s="8">
        <v>0.42</v>
      </c>
      <c r="G383" s="4">
        <v>18</v>
      </c>
      <c r="H383" s="8">
        <v>2.34</v>
      </c>
      <c r="I383" s="4">
        <v>0</v>
      </c>
    </row>
    <row r="384" spans="1:9" x14ac:dyDescent="0.2">
      <c r="A384" s="2">
        <v>20</v>
      </c>
      <c r="B384" s="1" t="s">
        <v>192</v>
      </c>
      <c r="C384" s="4">
        <v>23</v>
      </c>
      <c r="D384" s="8">
        <v>1.1499999999999999</v>
      </c>
      <c r="E384" s="4">
        <v>21</v>
      </c>
      <c r="F384" s="8">
        <v>1.75</v>
      </c>
      <c r="G384" s="4">
        <v>2</v>
      </c>
      <c r="H384" s="8">
        <v>0.26</v>
      </c>
      <c r="I384" s="4">
        <v>0</v>
      </c>
    </row>
    <row r="385" spans="1:9" x14ac:dyDescent="0.2">
      <c r="A385" s="1"/>
      <c r="C385" s="4"/>
      <c r="D385" s="8"/>
      <c r="E385" s="4"/>
      <c r="F385" s="8"/>
      <c r="G385" s="4"/>
      <c r="H385" s="8"/>
      <c r="I385" s="4"/>
    </row>
    <row r="386" spans="1:9" x14ac:dyDescent="0.2">
      <c r="A386" s="1" t="s">
        <v>17</v>
      </c>
      <c r="C386" s="4"/>
      <c r="D386" s="8"/>
      <c r="E386" s="4"/>
      <c r="F386" s="8"/>
      <c r="G386" s="4"/>
      <c r="H386" s="8"/>
      <c r="I386" s="4"/>
    </row>
    <row r="387" spans="1:9" x14ac:dyDescent="0.2">
      <c r="A387" s="2">
        <v>1</v>
      </c>
      <c r="B387" s="1" t="s">
        <v>173</v>
      </c>
      <c r="C387" s="4">
        <v>262</v>
      </c>
      <c r="D387" s="8">
        <v>4.95</v>
      </c>
      <c r="E387" s="4">
        <v>212</v>
      </c>
      <c r="F387" s="8">
        <v>10.65</v>
      </c>
      <c r="G387" s="4">
        <v>50</v>
      </c>
      <c r="H387" s="8">
        <v>1.52</v>
      </c>
      <c r="I387" s="4">
        <v>0</v>
      </c>
    </row>
    <row r="388" spans="1:9" x14ac:dyDescent="0.2">
      <c r="A388" s="2">
        <v>2</v>
      </c>
      <c r="B388" s="1" t="s">
        <v>167</v>
      </c>
      <c r="C388" s="4">
        <v>205</v>
      </c>
      <c r="D388" s="8">
        <v>3.87</v>
      </c>
      <c r="E388" s="4">
        <v>68</v>
      </c>
      <c r="F388" s="8">
        <v>3.42</v>
      </c>
      <c r="G388" s="4">
        <v>136</v>
      </c>
      <c r="H388" s="8">
        <v>4.13</v>
      </c>
      <c r="I388" s="4">
        <v>0</v>
      </c>
    </row>
    <row r="389" spans="1:9" x14ac:dyDescent="0.2">
      <c r="A389" s="2">
        <v>3</v>
      </c>
      <c r="B389" s="1" t="s">
        <v>175</v>
      </c>
      <c r="C389" s="4">
        <v>173</v>
      </c>
      <c r="D389" s="8">
        <v>3.27</v>
      </c>
      <c r="E389" s="4">
        <v>154</v>
      </c>
      <c r="F389" s="8">
        <v>7.73</v>
      </c>
      <c r="G389" s="4">
        <v>19</v>
      </c>
      <c r="H389" s="8">
        <v>0.57999999999999996</v>
      </c>
      <c r="I389" s="4">
        <v>0</v>
      </c>
    </row>
    <row r="390" spans="1:9" x14ac:dyDescent="0.2">
      <c r="A390" s="2">
        <v>4</v>
      </c>
      <c r="B390" s="1" t="s">
        <v>172</v>
      </c>
      <c r="C390" s="4">
        <v>152</v>
      </c>
      <c r="D390" s="8">
        <v>2.87</v>
      </c>
      <c r="E390" s="4">
        <v>140</v>
      </c>
      <c r="F390" s="8">
        <v>7.03</v>
      </c>
      <c r="G390" s="4">
        <v>12</v>
      </c>
      <c r="H390" s="8">
        <v>0.36</v>
      </c>
      <c r="I390" s="4">
        <v>0</v>
      </c>
    </row>
    <row r="391" spans="1:9" x14ac:dyDescent="0.2">
      <c r="A391" s="2">
        <v>5</v>
      </c>
      <c r="B391" s="1" t="s">
        <v>174</v>
      </c>
      <c r="C391" s="4">
        <v>145</v>
      </c>
      <c r="D391" s="8">
        <v>2.74</v>
      </c>
      <c r="E391" s="4">
        <v>100</v>
      </c>
      <c r="F391" s="8">
        <v>5.0199999999999996</v>
      </c>
      <c r="G391" s="4">
        <v>44</v>
      </c>
      <c r="H391" s="8">
        <v>1.34</v>
      </c>
      <c r="I391" s="4">
        <v>1</v>
      </c>
    </row>
    <row r="392" spans="1:9" x14ac:dyDescent="0.2">
      <c r="A392" s="2">
        <v>6</v>
      </c>
      <c r="B392" s="1" t="s">
        <v>166</v>
      </c>
      <c r="C392" s="4">
        <v>140</v>
      </c>
      <c r="D392" s="8">
        <v>2.64</v>
      </c>
      <c r="E392" s="4">
        <v>19</v>
      </c>
      <c r="F392" s="8">
        <v>0.95</v>
      </c>
      <c r="G392" s="4">
        <v>121</v>
      </c>
      <c r="H392" s="8">
        <v>3.67</v>
      </c>
      <c r="I392" s="4">
        <v>0</v>
      </c>
    </row>
    <row r="393" spans="1:9" x14ac:dyDescent="0.2">
      <c r="A393" s="2">
        <v>7</v>
      </c>
      <c r="B393" s="1" t="s">
        <v>170</v>
      </c>
      <c r="C393" s="4">
        <v>120</v>
      </c>
      <c r="D393" s="8">
        <v>2.27</v>
      </c>
      <c r="E393" s="4">
        <v>105</v>
      </c>
      <c r="F393" s="8">
        <v>5.27</v>
      </c>
      <c r="G393" s="4">
        <v>15</v>
      </c>
      <c r="H393" s="8">
        <v>0.46</v>
      </c>
      <c r="I393" s="4">
        <v>0</v>
      </c>
    </row>
    <row r="394" spans="1:9" x14ac:dyDescent="0.2">
      <c r="A394" s="2">
        <v>8</v>
      </c>
      <c r="B394" s="1" t="s">
        <v>169</v>
      </c>
      <c r="C394" s="4">
        <v>115</v>
      </c>
      <c r="D394" s="8">
        <v>2.17</v>
      </c>
      <c r="E394" s="4">
        <v>88</v>
      </c>
      <c r="F394" s="8">
        <v>4.42</v>
      </c>
      <c r="G394" s="4">
        <v>27</v>
      </c>
      <c r="H394" s="8">
        <v>0.82</v>
      </c>
      <c r="I394" s="4">
        <v>0</v>
      </c>
    </row>
    <row r="395" spans="1:9" x14ac:dyDescent="0.2">
      <c r="A395" s="2">
        <v>9</v>
      </c>
      <c r="B395" s="1" t="s">
        <v>168</v>
      </c>
      <c r="C395" s="4">
        <v>111</v>
      </c>
      <c r="D395" s="8">
        <v>2.1</v>
      </c>
      <c r="E395" s="4">
        <v>3</v>
      </c>
      <c r="F395" s="8">
        <v>0.15</v>
      </c>
      <c r="G395" s="4">
        <v>107</v>
      </c>
      <c r="H395" s="8">
        <v>3.25</v>
      </c>
      <c r="I395" s="4">
        <v>0</v>
      </c>
    </row>
    <row r="396" spans="1:9" x14ac:dyDescent="0.2">
      <c r="A396" s="2">
        <v>10</v>
      </c>
      <c r="B396" s="1" t="s">
        <v>164</v>
      </c>
      <c r="C396" s="4">
        <v>109</v>
      </c>
      <c r="D396" s="8">
        <v>2.06</v>
      </c>
      <c r="E396" s="4">
        <v>51</v>
      </c>
      <c r="F396" s="8">
        <v>2.56</v>
      </c>
      <c r="G396" s="4">
        <v>57</v>
      </c>
      <c r="H396" s="8">
        <v>1.73</v>
      </c>
      <c r="I396" s="4">
        <v>1</v>
      </c>
    </row>
    <row r="397" spans="1:9" x14ac:dyDescent="0.2">
      <c r="A397" s="2">
        <v>11</v>
      </c>
      <c r="B397" s="1" t="s">
        <v>162</v>
      </c>
      <c r="C397" s="4">
        <v>105</v>
      </c>
      <c r="D397" s="8">
        <v>1.98</v>
      </c>
      <c r="E397" s="4">
        <v>58</v>
      </c>
      <c r="F397" s="8">
        <v>2.91</v>
      </c>
      <c r="G397" s="4">
        <v>46</v>
      </c>
      <c r="H397" s="8">
        <v>1.4</v>
      </c>
      <c r="I397" s="4">
        <v>1</v>
      </c>
    </row>
    <row r="398" spans="1:9" x14ac:dyDescent="0.2">
      <c r="A398" s="2">
        <v>12</v>
      </c>
      <c r="B398" s="1" t="s">
        <v>177</v>
      </c>
      <c r="C398" s="4">
        <v>99</v>
      </c>
      <c r="D398" s="8">
        <v>1.87</v>
      </c>
      <c r="E398" s="4">
        <v>9</v>
      </c>
      <c r="F398" s="8">
        <v>0.45</v>
      </c>
      <c r="G398" s="4">
        <v>90</v>
      </c>
      <c r="H398" s="8">
        <v>2.73</v>
      </c>
      <c r="I398" s="4">
        <v>0</v>
      </c>
    </row>
    <row r="399" spans="1:9" x14ac:dyDescent="0.2">
      <c r="A399" s="2">
        <v>13</v>
      </c>
      <c r="B399" s="1" t="s">
        <v>165</v>
      </c>
      <c r="C399" s="4">
        <v>87</v>
      </c>
      <c r="D399" s="8">
        <v>1.64</v>
      </c>
      <c r="E399" s="4">
        <v>4</v>
      </c>
      <c r="F399" s="8">
        <v>0.2</v>
      </c>
      <c r="G399" s="4">
        <v>83</v>
      </c>
      <c r="H399" s="8">
        <v>2.52</v>
      </c>
      <c r="I399" s="4">
        <v>0</v>
      </c>
    </row>
    <row r="400" spans="1:9" x14ac:dyDescent="0.2">
      <c r="A400" s="2">
        <v>14</v>
      </c>
      <c r="B400" s="1" t="s">
        <v>163</v>
      </c>
      <c r="C400" s="4">
        <v>82</v>
      </c>
      <c r="D400" s="8">
        <v>1.55</v>
      </c>
      <c r="E400" s="4">
        <v>32</v>
      </c>
      <c r="F400" s="8">
        <v>1.61</v>
      </c>
      <c r="G400" s="4">
        <v>50</v>
      </c>
      <c r="H400" s="8">
        <v>1.52</v>
      </c>
      <c r="I400" s="4">
        <v>0</v>
      </c>
    </row>
    <row r="401" spans="1:9" x14ac:dyDescent="0.2">
      <c r="A401" s="2">
        <v>15</v>
      </c>
      <c r="B401" s="1" t="s">
        <v>158</v>
      </c>
      <c r="C401" s="4">
        <v>80</v>
      </c>
      <c r="D401" s="8">
        <v>1.51</v>
      </c>
      <c r="E401" s="4">
        <v>10</v>
      </c>
      <c r="F401" s="8">
        <v>0.5</v>
      </c>
      <c r="G401" s="4">
        <v>70</v>
      </c>
      <c r="H401" s="8">
        <v>2.12</v>
      </c>
      <c r="I401" s="4">
        <v>0</v>
      </c>
    </row>
    <row r="402" spans="1:9" x14ac:dyDescent="0.2">
      <c r="A402" s="2">
        <v>16</v>
      </c>
      <c r="B402" s="1" t="s">
        <v>160</v>
      </c>
      <c r="C402" s="4">
        <v>79</v>
      </c>
      <c r="D402" s="8">
        <v>1.49</v>
      </c>
      <c r="E402" s="4">
        <v>6</v>
      </c>
      <c r="F402" s="8">
        <v>0.3</v>
      </c>
      <c r="G402" s="4">
        <v>73</v>
      </c>
      <c r="H402" s="8">
        <v>2.2200000000000002</v>
      </c>
      <c r="I402" s="4">
        <v>0</v>
      </c>
    </row>
    <row r="403" spans="1:9" x14ac:dyDescent="0.2">
      <c r="A403" s="2">
        <v>16</v>
      </c>
      <c r="B403" s="1" t="s">
        <v>161</v>
      </c>
      <c r="C403" s="4">
        <v>79</v>
      </c>
      <c r="D403" s="8">
        <v>1.49</v>
      </c>
      <c r="E403" s="4">
        <v>10</v>
      </c>
      <c r="F403" s="8">
        <v>0.5</v>
      </c>
      <c r="G403" s="4">
        <v>69</v>
      </c>
      <c r="H403" s="8">
        <v>2.09</v>
      </c>
      <c r="I403" s="4">
        <v>0</v>
      </c>
    </row>
    <row r="404" spans="1:9" x14ac:dyDescent="0.2">
      <c r="A404" s="2">
        <v>18</v>
      </c>
      <c r="B404" s="1" t="s">
        <v>178</v>
      </c>
      <c r="C404" s="4">
        <v>77</v>
      </c>
      <c r="D404" s="8">
        <v>1.45</v>
      </c>
      <c r="E404" s="4">
        <v>14</v>
      </c>
      <c r="F404" s="8">
        <v>0.7</v>
      </c>
      <c r="G404" s="4">
        <v>62</v>
      </c>
      <c r="H404" s="8">
        <v>1.88</v>
      </c>
      <c r="I404" s="4">
        <v>0</v>
      </c>
    </row>
    <row r="405" spans="1:9" x14ac:dyDescent="0.2">
      <c r="A405" s="2">
        <v>19</v>
      </c>
      <c r="B405" s="1" t="s">
        <v>182</v>
      </c>
      <c r="C405" s="4">
        <v>75</v>
      </c>
      <c r="D405" s="8">
        <v>1.42</v>
      </c>
      <c r="E405" s="4">
        <v>12</v>
      </c>
      <c r="F405" s="8">
        <v>0.6</v>
      </c>
      <c r="G405" s="4">
        <v>63</v>
      </c>
      <c r="H405" s="8">
        <v>1.91</v>
      </c>
      <c r="I405" s="4">
        <v>0</v>
      </c>
    </row>
    <row r="406" spans="1:9" x14ac:dyDescent="0.2">
      <c r="A406" s="2">
        <v>20</v>
      </c>
      <c r="B406" s="1" t="s">
        <v>157</v>
      </c>
      <c r="C406" s="4">
        <v>73</v>
      </c>
      <c r="D406" s="8">
        <v>1.38</v>
      </c>
      <c r="E406" s="4">
        <v>3</v>
      </c>
      <c r="F406" s="8">
        <v>0.15</v>
      </c>
      <c r="G406" s="4">
        <v>70</v>
      </c>
      <c r="H406" s="8">
        <v>2.12</v>
      </c>
      <c r="I406" s="4">
        <v>0</v>
      </c>
    </row>
    <row r="407" spans="1:9" x14ac:dyDescent="0.2">
      <c r="A407" s="1"/>
      <c r="C407" s="4"/>
      <c r="D407" s="8"/>
      <c r="E407" s="4"/>
      <c r="F407" s="8"/>
      <c r="G407" s="4"/>
      <c r="H407" s="8"/>
      <c r="I407" s="4"/>
    </row>
    <row r="408" spans="1:9" x14ac:dyDescent="0.2">
      <c r="A408" s="1" t="s">
        <v>18</v>
      </c>
      <c r="C408" s="4"/>
      <c r="D408" s="8"/>
      <c r="E408" s="4"/>
      <c r="F408" s="8"/>
      <c r="G408" s="4"/>
      <c r="H408" s="8"/>
      <c r="I408" s="4"/>
    </row>
    <row r="409" spans="1:9" x14ac:dyDescent="0.2">
      <c r="A409" s="2">
        <v>1</v>
      </c>
      <c r="B409" s="1" t="s">
        <v>173</v>
      </c>
      <c r="C409" s="4">
        <v>87</v>
      </c>
      <c r="D409" s="8">
        <v>4.9800000000000004</v>
      </c>
      <c r="E409" s="4">
        <v>81</v>
      </c>
      <c r="F409" s="8">
        <v>8.35</v>
      </c>
      <c r="G409" s="4">
        <v>6</v>
      </c>
      <c r="H409" s="8">
        <v>0.79</v>
      </c>
      <c r="I409" s="4">
        <v>0</v>
      </c>
    </row>
    <row r="410" spans="1:9" x14ac:dyDescent="0.2">
      <c r="A410" s="2">
        <v>2</v>
      </c>
      <c r="B410" s="1" t="s">
        <v>167</v>
      </c>
      <c r="C410" s="4">
        <v>60</v>
      </c>
      <c r="D410" s="8">
        <v>3.43</v>
      </c>
      <c r="E410" s="4">
        <v>39</v>
      </c>
      <c r="F410" s="8">
        <v>4.0199999999999996</v>
      </c>
      <c r="G410" s="4">
        <v>21</v>
      </c>
      <c r="H410" s="8">
        <v>2.77</v>
      </c>
      <c r="I410" s="4">
        <v>0</v>
      </c>
    </row>
    <row r="411" spans="1:9" x14ac:dyDescent="0.2">
      <c r="A411" s="2">
        <v>3</v>
      </c>
      <c r="B411" s="1" t="s">
        <v>172</v>
      </c>
      <c r="C411" s="4">
        <v>48</v>
      </c>
      <c r="D411" s="8">
        <v>2.75</v>
      </c>
      <c r="E411" s="4">
        <v>46</v>
      </c>
      <c r="F411" s="8">
        <v>4.74</v>
      </c>
      <c r="G411" s="4">
        <v>2</v>
      </c>
      <c r="H411" s="8">
        <v>0.26</v>
      </c>
      <c r="I411" s="4">
        <v>0</v>
      </c>
    </row>
    <row r="412" spans="1:9" x14ac:dyDescent="0.2">
      <c r="A412" s="2">
        <v>3</v>
      </c>
      <c r="B412" s="1" t="s">
        <v>174</v>
      </c>
      <c r="C412" s="4">
        <v>48</v>
      </c>
      <c r="D412" s="8">
        <v>2.75</v>
      </c>
      <c r="E412" s="4">
        <v>40</v>
      </c>
      <c r="F412" s="8">
        <v>4.12</v>
      </c>
      <c r="G412" s="4">
        <v>7</v>
      </c>
      <c r="H412" s="8">
        <v>0.92</v>
      </c>
      <c r="I412" s="4">
        <v>1</v>
      </c>
    </row>
    <row r="413" spans="1:9" x14ac:dyDescent="0.2">
      <c r="A413" s="2">
        <v>5</v>
      </c>
      <c r="B413" s="1" t="s">
        <v>170</v>
      </c>
      <c r="C413" s="4">
        <v>45</v>
      </c>
      <c r="D413" s="8">
        <v>2.58</v>
      </c>
      <c r="E413" s="4">
        <v>43</v>
      </c>
      <c r="F413" s="8">
        <v>4.43</v>
      </c>
      <c r="G413" s="4">
        <v>2</v>
      </c>
      <c r="H413" s="8">
        <v>0.26</v>
      </c>
      <c r="I413" s="4">
        <v>0</v>
      </c>
    </row>
    <row r="414" spans="1:9" x14ac:dyDescent="0.2">
      <c r="A414" s="2">
        <v>6</v>
      </c>
      <c r="B414" s="1" t="s">
        <v>175</v>
      </c>
      <c r="C414" s="4">
        <v>43</v>
      </c>
      <c r="D414" s="8">
        <v>2.46</v>
      </c>
      <c r="E414" s="4">
        <v>39</v>
      </c>
      <c r="F414" s="8">
        <v>4.0199999999999996</v>
      </c>
      <c r="G414" s="4">
        <v>4</v>
      </c>
      <c r="H414" s="8">
        <v>0.53</v>
      </c>
      <c r="I414" s="4">
        <v>0</v>
      </c>
    </row>
    <row r="415" spans="1:9" x14ac:dyDescent="0.2">
      <c r="A415" s="2">
        <v>7</v>
      </c>
      <c r="B415" s="1" t="s">
        <v>159</v>
      </c>
      <c r="C415" s="4">
        <v>41</v>
      </c>
      <c r="D415" s="8">
        <v>2.35</v>
      </c>
      <c r="E415" s="4">
        <v>29</v>
      </c>
      <c r="F415" s="8">
        <v>2.99</v>
      </c>
      <c r="G415" s="4">
        <v>12</v>
      </c>
      <c r="H415" s="8">
        <v>1.59</v>
      </c>
      <c r="I415" s="4">
        <v>0</v>
      </c>
    </row>
    <row r="416" spans="1:9" x14ac:dyDescent="0.2">
      <c r="A416" s="2">
        <v>7</v>
      </c>
      <c r="B416" s="1" t="s">
        <v>169</v>
      </c>
      <c r="C416" s="4">
        <v>41</v>
      </c>
      <c r="D416" s="8">
        <v>2.35</v>
      </c>
      <c r="E416" s="4">
        <v>32</v>
      </c>
      <c r="F416" s="8">
        <v>3.3</v>
      </c>
      <c r="G416" s="4">
        <v>9</v>
      </c>
      <c r="H416" s="8">
        <v>1.19</v>
      </c>
      <c r="I416" s="4">
        <v>0</v>
      </c>
    </row>
    <row r="417" spans="1:9" x14ac:dyDescent="0.2">
      <c r="A417" s="2">
        <v>9</v>
      </c>
      <c r="B417" s="1" t="s">
        <v>192</v>
      </c>
      <c r="C417" s="4">
        <v>39</v>
      </c>
      <c r="D417" s="8">
        <v>2.23</v>
      </c>
      <c r="E417" s="4">
        <v>34</v>
      </c>
      <c r="F417" s="8">
        <v>3.51</v>
      </c>
      <c r="G417" s="4">
        <v>5</v>
      </c>
      <c r="H417" s="8">
        <v>0.66</v>
      </c>
      <c r="I417" s="4">
        <v>0</v>
      </c>
    </row>
    <row r="418" spans="1:9" x14ac:dyDescent="0.2">
      <c r="A418" s="2">
        <v>10</v>
      </c>
      <c r="B418" s="1" t="s">
        <v>162</v>
      </c>
      <c r="C418" s="4">
        <v>38</v>
      </c>
      <c r="D418" s="8">
        <v>2.1800000000000002</v>
      </c>
      <c r="E418" s="4">
        <v>30</v>
      </c>
      <c r="F418" s="8">
        <v>3.09</v>
      </c>
      <c r="G418" s="4">
        <v>8</v>
      </c>
      <c r="H418" s="8">
        <v>1.06</v>
      </c>
      <c r="I418" s="4">
        <v>0</v>
      </c>
    </row>
    <row r="419" spans="1:9" x14ac:dyDescent="0.2">
      <c r="A419" s="2">
        <v>11</v>
      </c>
      <c r="B419" s="1" t="s">
        <v>164</v>
      </c>
      <c r="C419" s="4">
        <v>36</v>
      </c>
      <c r="D419" s="8">
        <v>2.06</v>
      </c>
      <c r="E419" s="4">
        <v>22</v>
      </c>
      <c r="F419" s="8">
        <v>2.27</v>
      </c>
      <c r="G419" s="4">
        <v>14</v>
      </c>
      <c r="H419" s="8">
        <v>1.85</v>
      </c>
      <c r="I419" s="4">
        <v>0</v>
      </c>
    </row>
    <row r="420" spans="1:9" x14ac:dyDescent="0.2">
      <c r="A420" s="2">
        <v>12</v>
      </c>
      <c r="B420" s="1" t="s">
        <v>188</v>
      </c>
      <c r="C420" s="4">
        <v>35</v>
      </c>
      <c r="D420" s="8">
        <v>2</v>
      </c>
      <c r="E420" s="4">
        <v>27</v>
      </c>
      <c r="F420" s="8">
        <v>2.78</v>
      </c>
      <c r="G420" s="4">
        <v>8</v>
      </c>
      <c r="H420" s="8">
        <v>1.06</v>
      </c>
      <c r="I420" s="4">
        <v>0</v>
      </c>
    </row>
    <row r="421" spans="1:9" x14ac:dyDescent="0.2">
      <c r="A421" s="2">
        <v>13</v>
      </c>
      <c r="B421" s="1" t="s">
        <v>176</v>
      </c>
      <c r="C421" s="4">
        <v>33</v>
      </c>
      <c r="D421" s="8">
        <v>1.89</v>
      </c>
      <c r="E421" s="4">
        <v>25</v>
      </c>
      <c r="F421" s="8">
        <v>2.58</v>
      </c>
      <c r="G421" s="4">
        <v>8</v>
      </c>
      <c r="H421" s="8">
        <v>1.06</v>
      </c>
      <c r="I421" s="4">
        <v>0</v>
      </c>
    </row>
    <row r="422" spans="1:9" x14ac:dyDescent="0.2">
      <c r="A422" s="2">
        <v>14</v>
      </c>
      <c r="B422" s="1" t="s">
        <v>157</v>
      </c>
      <c r="C422" s="4">
        <v>31</v>
      </c>
      <c r="D422" s="8">
        <v>1.77</v>
      </c>
      <c r="E422" s="4">
        <v>5</v>
      </c>
      <c r="F422" s="8">
        <v>0.52</v>
      </c>
      <c r="G422" s="4">
        <v>26</v>
      </c>
      <c r="H422" s="8">
        <v>3.43</v>
      </c>
      <c r="I422" s="4">
        <v>0</v>
      </c>
    </row>
    <row r="423" spans="1:9" x14ac:dyDescent="0.2">
      <c r="A423" s="2">
        <v>15</v>
      </c>
      <c r="B423" s="1" t="s">
        <v>160</v>
      </c>
      <c r="C423" s="4">
        <v>30</v>
      </c>
      <c r="D423" s="8">
        <v>1.72</v>
      </c>
      <c r="E423" s="4">
        <v>9</v>
      </c>
      <c r="F423" s="8">
        <v>0.93</v>
      </c>
      <c r="G423" s="4">
        <v>21</v>
      </c>
      <c r="H423" s="8">
        <v>2.77</v>
      </c>
      <c r="I423" s="4">
        <v>0</v>
      </c>
    </row>
    <row r="424" spans="1:9" x14ac:dyDescent="0.2">
      <c r="A424" s="2">
        <v>16</v>
      </c>
      <c r="B424" s="1" t="s">
        <v>163</v>
      </c>
      <c r="C424" s="4">
        <v>28</v>
      </c>
      <c r="D424" s="8">
        <v>1.6</v>
      </c>
      <c r="E424" s="4">
        <v>19</v>
      </c>
      <c r="F424" s="8">
        <v>1.96</v>
      </c>
      <c r="G424" s="4">
        <v>9</v>
      </c>
      <c r="H424" s="8">
        <v>1.19</v>
      </c>
      <c r="I424" s="4">
        <v>0</v>
      </c>
    </row>
    <row r="425" spans="1:9" x14ac:dyDescent="0.2">
      <c r="A425" s="2">
        <v>17</v>
      </c>
      <c r="B425" s="1" t="s">
        <v>191</v>
      </c>
      <c r="C425" s="4">
        <v>24</v>
      </c>
      <c r="D425" s="8">
        <v>1.37</v>
      </c>
      <c r="E425" s="4">
        <v>22</v>
      </c>
      <c r="F425" s="8">
        <v>2.27</v>
      </c>
      <c r="G425" s="4">
        <v>2</v>
      </c>
      <c r="H425" s="8">
        <v>0.26</v>
      </c>
      <c r="I425" s="4">
        <v>0</v>
      </c>
    </row>
    <row r="426" spans="1:9" x14ac:dyDescent="0.2">
      <c r="A426" s="2">
        <v>18</v>
      </c>
      <c r="B426" s="1" t="s">
        <v>178</v>
      </c>
      <c r="C426" s="4">
        <v>23</v>
      </c>
      <c r="D426" s="8">
        <v>1.32</v>
      </c>
      <c r="E426" s="4">
        <v>13</v>
      </c>
      <c r="F426" s="8">
        <v>1.34</v>
      </c>
      <c r="G426" s="4">
        <v>10</v>
      </c>
      <c r="H426" s="8">
        <v>1.32</v>
      </c>
      <c r="I426" s="4">
        <v>0</v>
      </c>
    </row>
    <row r="427" spans="1:9" x14ac:dyDescent="0.2">
      <c r="A427" s="2">
        <v>19</v>
      </c>
      <c r="B427" s="1" t="s">
        <v>177</v>
      </c>
      <c r="C427" s="4">
        <v>22</v>
      </c>
      <c r="D427" s="8">
        <v>1.26</v>
      </c>
      <c r="E427" s="4">
        <v>6</v>
      </c>
      <c r="F427" s="8">
        <v>0.62</v>
      </c>
      <c r="G427" s="4">
        <v>16</v>
      </c>
      <c r="H427" s="8">
        <v>2.11</v>
      </c>
      <c r="I427" s="4">
        <v>0</v>
      </c>
    </row>
    <row r="428" spans="1:9" x14ac:dyDescent="0.2">
      <c r="A428" s="2">
        <v>19</v>
      </c>
      <c r="B428" s="1" t="s">
        <v>206</v>
      </c>
      <c r="C428" s="4">
        <v>22</v>
      </c>
      <c r="D428" s="8">
        <v>1.26</v>
      </c>
      <c r="E428" s="4">
        <v>17</v>
      </c>
      <c r="F428" s="8">
        <v>1.75</v>
      </c>
      <c r="G428" s="4">
        <v>5</v>
      </c>
      <c r="H428" s="8">
        <v>0.66</v>
      </c>
      <c r="I428" s="4">
        <v>0</v>
      </c>
    </row>
    <row r="429" spans="1:9" x14ac:dyDescent="0.2">
      <c r="A429" s="1"/>
      <c r="C429" s="4"/>
      <c r="D429" s="8"/>
      <c r="E429" s="4"/>
      <c r="F429" s="8"/>
      <c r="G429" s="4"/>
      <c r="H429" s="8"/>
      <c r="I429" s="4"/>
    </row>
    <row r="430" spans="1:9" x14ac:dyDescent="0.2">
      <c r="A430" s="1" t="s">
        <v>19</v>
      </c>
      <c r="C430" s="4"/>
      <c r="D430" s="8"/>
      <c r="E430" s="4"/>
      <c r="F430" s="8"/>
      <c r="G430" s="4"/>
      <c r="H430" s="8"/>
      <c r="I430" s="4"/>
    </row>
    <row r="431" spans="1:9" x14ac:dyDescent="0.2">
      <c r="A431" s="2">
        <v>1</v>
      </c>
      <c r="B431" s="1" t="s">
        <v>173</v>
      </c>
      <c r="C431" s="4">
        <v>121</v>
      </c>
      <c r="D431" s="8">
        <v>5.58</v>
      </c>
      <c r="E431" s="4">
        <v>108</v>
      </c>
      <c r="F431" s="8">
        <v>9.3800000000000008</v>
      </c>
      <c r="G431" s="4">
        <v>13</v>
      </c>
      <c r="H431" s="8">
        <v>1.31</v>
      </c>
      <c r="I431" s="4">
        <v>0</v>
      </c>
    </row>
    <row r="432" spans="1:9" x14ac:dyDescent="0.2">
      <c r="A432" s="2">
        <v>2</v>
      </c>
      <c r="B432" s="1" t="s">
        <v>172</v>
      </c>
      <c r="C432" s="4">
        <v>82</v>
      </c>
      <c r="D432" s="8">
        <v>3.78</v>
      </c>
      <c r="E432" s="4">
        <v>80</v>
      </c>
      <c r="F432" s="8">
        <v>6.95</v>
      </c>
      <c r="G432" s="4">
        <v>2</v>
      </c>
      <c r="H432" s="8">
        <v>0.2</v>
      </c>
      <c r="I432" s="4">
        <v>0</v>
      </c>
    </row>
    <row r="433" spans="1:9" x14ac:dyDescent="0.2">
      <c r="A433" s="2">
        <v>3</v>
      </c>
      <c r="B433" s="1" t="s">
        <v>159</v>
      </c>
      <c r="C433" s="4">
        <v>64</v>
      </c>
      <c r="D433" s="8">
        <v>2.95</v>
      </c>
      <c r="E433" s="4">
        <v>46</v>
      </c>
      <c r="F433" s="8">
        <v>4</v>
      </c>
      <c r="G433" s="4">
        <v>18</v>
      </c>
      <c r="H433" s="8">
        <v>1.81</v>
      </c>
      <c r="I433" s="4">
        <v>0</v>
      </c>
    </row>
    <row r="434" spans="1:9" x14ac:dyDescent="0.2">
      <c r="A434" s="2">
        <v>4</v>
      </c>
      <c r="B434" s="1" t="s">
        <v>169</v>
      </c>
      <c r="C434" s="4">
        <v>58</v>
      </c>
      <c r="D434" s="8">
        <v>2.67</v>
      </c>
      <c r="E434" s="4">
        <v>46</v>
      </c>
      <c r="F434" s="8">
        <v>4</v>
      </c>
      <c r="G434" s="4">
        <v>12</v>
      </c>
      <c r="H434" s="8">
        <v>1.21</v>
      </c>
      <c r="I434" s="4">
        <v>0</v>
      </c>
    </row>
    <row r="435" spans="1:9" x14ac:dyDescent="0.2">
      <c r="A435" s="2">
        <v>5</v>
      </c>
      <c r="B435" s="1" t="s">
        <v>167</v>
      </c>
      <c r="C435" s="4">
        <v>53</v>
      </c>
      <c r="D435" s="8">
        <v>2.44</v>
      </c>
      <c r="E435" s="4">
        <v>34</v>
      </c>
      <c r="F435" s="8">
        <v>2.95</v>
      </c>
      <c r="G435" s="4">
        <v>19</v>
      </c>
      <c r="H435" s="8">
        <v>1.91</v>
      </c>
      <c r="I435" s="4">
        <v>0</v>
      </c>
    </row>
    <row r="436" spans="1:9" x14ac:dyDescent="0.2">
      <c r="A436" s="2">
        <v>5</v>
      </c>
      <c r="B436" s="1" t="s">
        <v>174</v>
      </c>
      <c r="C436" s="4">
        <v>53</v>
      </c>
      <c r="D436" s="8">
        <v>2.44</v>
      </c>
      <c r="E436" s="4">
        <v>47</v>
      </c>
      <c r="F436" s="8">
        <v>4.08</v>
      </c>
      <c r="G436" s="4">
        <v>6</v>
      </c>
      <c r="H436" s="8">
        <v>0.6</v>
      </c>
      <c r="I436" s="4">
        <v>0</v>
      </c>
    </row>
    <row r="437" spans="1:9" x14ac:dyDescent="0.2">
      <c r="A437" s="2">
        <v>7</v>
      </c>
      <c r="B437" s="1" t="s">
        <v>161</v>
      </c>
      <c r="C437" s="4">
        <v>49</v>
      </c>
      <c r="D437" s="8">
        <v>2.2599999999999998</v>
      </c>
      <c r="E437" s="4">
        <v>16</v>
      </c>
      <c r="F437" s="8">
        <v>1.39</v>
      </c>
      <c r="G437" s="4">
        <v>33</v>
      </c>
      <c r="H437" s="8">
        <v>3.32</v>
      </c>
      <c r="I437" s="4">
        <v>0</v>
      </c>
    </row>
    <row r="438" spans="1:9" x14ac:dyDescent="0.2">
      <c r="A438" s="2">
        <v>8</v>
      </c>
      <c r="B438" s="1" t="s">
        <v>163</v>
      </c>
      <c r="C438" s="4">
        <v>47</v>
      </c>
      <c r="D438" s="8">
        <v>2.17</v>
      </c>
      <c r="E438" s="4">
        <v>24</v>
      </c>
      <c r="F438" s="8">
        <v>2.09</v>
      </c>
      <c r="G438" s="4">
        <v>23</v>
      </c>
      <c r="H438" s="8">
        <v>2.31</v>
      </c>
      <c r="I438" s="4">
        <v>0</v>
      </c>
    </row>
    <row r="439" spans="1:9" x14ac:dyDescent="0.2">
      <c r="A439" s="2">
        <v>9</v>
      </c>
      <c r="B439" s="1" t="s">
        <v>176</v>
      </c>
      <c r="C439" s="4">
        <v>46</v>
      </c>
      <c r="D439" s="8">
        <v>2.12</v>
      </c>
      <c r="E439" s="4">
        <v>36</v>
      </c>
      <c r="F439" s="8">
        <v>3.13</v>
      </c>
      <c r="G439" s="4">
        <v>10</v>
      </c>
      <c r="H439" s="8">
        <v>1.01</v>
      </c>
      <c r="I439" s="4">
        <v>0</v>
      </c>
    </row>
    <row r="440" spans="1:9" x14ac:dyDescent="0.2">
      <c r="A440" s="2">
        <v>10</v>
      </c>
      <c r="B440" s="1" t="s">
        <v>160</v>
      </c>
      <c r="C440" s="4">
        <v>43</v>
      </c>
      <c r="D440" s="8">
        <v>1.98</v>
      </c>
      <c r="E440" s="4">
        <v>11</v>
      </c>
      <c r="F440" s="8">
        <v>0.96</v>
      </c>
      <c r="G440" s="4">
        <v>32</v>
      </c>
      <c r="H440" s="8">
        <v>3.22</v>
      </c>
      <c r="I440" s="4">
        <v>0</v>
      </c>
    </row>
    <row r="441" spans="1:9" x14ac:dyDescent="0.2">
      <c r="A441" s="2">
        <v>11</v>
      </c>
      <c r="B441" s="1" t="s">
        <v>175</v>
      </c>
      <c r="C441" s="4">
        <v>42</v>
      </c>
      <c r="D441" s="8">
        <v>1.94</v>
      </c>
      <c r="E441" s="4">
        <v>41</v>
      </c>
      <c r="F441" s="8">
        <v>3.56</v>
      </c>
      <c r="G441" s="4">
        <v>1</v>
      </c>
      <c r="H441" s="8">
        <v>0.1</v>
      </c>
      <c r="I441" s="4">
        <v>0</v>
      </c>
    </row>
    <row r="442" spans="1:9" x14ac:dyDescent="0.2">
      <c r="A442" s="2">
        <v>12</v>
      </c>
      <c r="B442" s="1" t="s">
        <v>170</v>
      </c>
      <c r="C442" s="4">
        <v>40</v>
      </c>
      <c r="D442" s="8">
        <v>1.84</v>
      </c>
      <c r="E442" s="4">
        <v>36</v>
      </c>
      <c r="F442" s="8">
        <v>3.13</v>
      </c>
      <c r="G442" s="4">
        <v>4</v>
      </c>
      <c r="H442" s="8">
        <v>0.4</v>
      </c>
      <c r="I442" s="4">
        <v>0</v>
      </c>
    </row>
    <row r="443" spans="1:9" x14ac:dyDescent="0.2">
      <c r="A443" s="2">
        <v>13</v>
      </c>
      <c r="B443" s="1" t="s">
        <v>164</v>
      </c>
      <c r="C443" s="4">
        <v>39</v>
      </c>
      <c r="D443" s="8">
        <v>1.8</v>
      </c>
      <c r="E443" s="4">
        <v>21</v>
      </c>
      <c r="F443" s="8">
        <v>1.82</v>
      </c>
      <c r="G443" s="4">
        <v>18</v>
      </c>
      <c r="H443" s="8">
        <v>1.81</v>
      </c>
      <c r="I443" s="4">
        <v>0</v>
      </c>
    </row>
    <row r="444" spans="1:9" x14ac:dyDescent="0.2">
      <c r="A444" s="2">
        <v>14</v>
      </c>
      <c r="B444" s="1" t="s">
        <v>188</v>
      </c>
      <c r="C444" s="4">
        <v>33</v>
      </c>
      <c r="D444" s="8">
        <v>1.52</v>
      </c>
      <c r="E444" s="4">
        <v>24</v>
      </c>
      <c r="F444" s="8">
        <v>2.09</v>
      </c>
      <c r="G444" s="4">
        <v>9</v>
      </c>
      <c r="H444" s="8">
        <v>0.91</v>
      </c>
      <c r="I444" s="4">
        <v>0</v>
      </c>
    </row>
    <row r="445" spans="1:9" x14ac:dyDescent="0.2">
      <c r="A445" s="2">
        <v>15</v>
      </c>
      <c r="B445" s="1" t="s">
        <v>157</v>
      </c>
      <c r="C445" s="4">
        <v>31</v>
      </c>
      <c r="D445" s="8">
        <v>1.43</v>
      </c>
      <c r="E445" s="4">
        <v>3</v>
      </c>
      <c r="F445" s="8">
        <v>0.26</v>
      </c>
      <c r="G445" s="4">
        <v>28</v>
      </c>
      <c r="H445" s="8">
        <v>2.82</v>
      </c>
      <c r="I445" s="4">
        <v>0</v>
      </c>
    </row>
    <row r="446" spans="1:9" x14ac:dyDescent="0.2">
      <c r="A446" s="2">
        <v>15</v>
      </c>
      <c r="B446" s="1" t="s">
        <v>180</v>
      </c>
      <c r="C446" s="4">
        <v>31</v>
      </c>
      <c r="D446" s="8">
        <v>1.43</v>
      </c>
      <c r="E446" s="4">
        <v>12</v>
      </c>
      <c r="F446" s="8">
        <v>1.04</v>
      </c>
      <c r="G446" s="4">
        <v>19</v>
      </c>
      <c r="H446" s="8">
        <v>1.91</v>
      </c>
      <c r="I446" s="4">
        <v>0</v>
      </c>
    </row>
    <row r="447" spans="1:9" x14ac:dyDescent="0.2">
      <c r="A447" s="2">
        <v>15</v>
      </c>
      <c r="B447" s="1" t="s">
        <v>162</v>
      </c>
      <c r="C447" s="4">
        <v>31</v>
      </c>
      <c r="D447" s="8">
        <v>1.43</v>
      </c>
      <c r="E447" s="4">
        <v>22</v>
      </c>
      <c r="F447" s="8">
        <v>1.91</v>
      </c>
      <c r="G447" s="4">
        <v>9</v>
      </c>
      <c r="H447" s="8">
        <v>0.91</v>
      </c>
      <c r="I447" s="4">
        <v>0</v>
      </c>
    </row>
    <row r="448" spans="1:9" x14ac:dyDescent="0.2">
      <c r="A448" s="2">
        <v>15</v>
      </c>
      <c r="B448" s="1" t="s">
        <v>206</v>
      </c>
      <c r="C448" s="4">
        <v>31</v>
      </c>
      <c r="D448" s="8">
        <v>1.43</v>
      </c>
      <c r="E448" s="4">
        <v>25</v>
      </c>
      <c r="F448" s="8">
        <v>2.17</v>
      </c>
      <c r="G448" s="4">
        <v>6</v>
      </c>
      <c r="H448" s="8">
        <v>0.6</v>
      </c>
      <c r="I448" s="4">
        <v>0</v>
      </c>
    </row>
    <row r="449" spans="1:9" x14ac:dyDescent="0.2">
      <c r="A449" s="2">
        <v>19</v>
      </c>
      <c r="B449" s="1" t="s">
        <v>166</v>
      </c>
      <c r="C449" s="4">
        <v>28</v>
      </c>
      <c r="D449" s="8">
        <v>1.29</v>
      </c>
      <c r="E449" s="4">
        <v>7</v>
      </c>
      <c r="F449" s="8">
        <v>0.61</v>
      </c>
      <c r="G449" s="4">
        <v>21</v>
      </c>
      <c r="H449" s="8">
        <v>2.11</v>
      </c>
      <c r="I449" s="4">
        <v>0</v>
      </c>
    </row>
    <row r="450" spans="1:9" x14ac:dyDescent="0.2">
      <c r="A450" s="2">
        <v>19</v>
      </c>
      <c r="B450" s="1" t="s">
        <v>171</v>
      </c>
      <c r="C450" s="4">
        <v>28</v>
      </c>
      <c r="D450" s="8">
        <v>1.29</v>
      </c>
      <c r="E450" s="4">
        <v>21</v>
      </c>
      <c r="F450" s="8">
        <v>1.82</v>
      </c>
      <c r="G450" s="4">
        <v>7</v>
      </c>
      <c r="H450" s="8">
        <v>0.7</v>
      </c>
      <c r="I450" s="4">
        <v>0</v>
      </c>
    </row>
    <row r="451" spans="1:9" x14ac:dyDescent="0.2">
      <c r="A451" s="1"/>
      <c r="C451" s="4"/>
      <c r="D451" s="8"/>
      <c r="E451" s="4"/>
      <c r="F451" s="8"/>
      <c r="G451" s="4"/>
      <c r="H451" s="8"/>
      <c r="I451" s="4"/>
    </row>
    <row r="452" spans="1:9" x14ac:dyDescent="0.2">
      <c r="A452" s="1" t="s">
        <v>20</v>
      </c>
      <c r="C452" s="4"/>
      <c r="D452" s="8"/>
      <c r="E452" s="4"/>
      <c r="F452" s="8"/>
      <c r="G452" s="4"/>
      <c r="H452" s="8"/>
      <c r="I452" s="4"/>
    </row>
    <row r="453" spans="1:9" x14ac:dyDescent="0.2">
      <c r="A453" s="2">
        <v>1</v>
      </c>
      <c r="B453" s="1" t="s">
        <v>173</v>
      </c>
      <c r="C453" s="4">
        <v>115</v>
      </c>
      <c r="D453" s="8">
        <v>6.08</v>
      </c>
      <c r="E453" s="4">
        <v>104</v>
      </c>
      <c r="F453" s="8">
        <v>9.6300000000000008</v>
      </c>
      <c r="G453" s="4">
        <v>11</v>
      </c>
      <c r="H453" s="8">
        <v>1.39</v>
      </c>
      <c r="I453" s="4">
        <v>0</v>
      </c>
    </row>
    <row r="454" spans="1:9" x14ac:dyDescent="0.2">
      <c r="A454" s="2">
        <v>2</v>
      </c>
      <c r="B454" s="1" t="s">
        <v>167</v>
      </c>
      <c r="C454" s="4">
        <v>76</v>
      </c>
      <c r="D454" s="8">
        <v>4.0199999999999996</v>
      </c>
      <c r="E454" s="4">
        <v>43</v>
      </c>
      <c r="F454" s="8">
        <v>3.98</v>
      </c>
      <c r="G454" s="4">
        <v>33</v>
      </c>
      <c r="H454" s="8">
        <v>4.17</v>
      </c>
      <c r="I454" s="4">
        <v>0</v>
      </c>
    </row>
    <row r="455" spans="1:9" x14ac:dyDescent="0.2">
      <c r="A455" s="2">
        <v>3</v>
      </c>
      <c r="B455" s="1" t="s">
        <v>172</v>
      </c>
      <c r="C455" s="4">
        <v>69</v>
      </c>
      <c r="D455" s="8">
        <v>3.65</v>
      </c>
      <c r="E455" s="4">
        <v>67</v>
      </c>
      <c r="F455" s="8">
        <v>6.2</v>
      </c>
      <c r="G455" s="4">
        <v>2</v>
      </c>
      <c r="H455" s="8">
        <v>0.25</v>
      </c>
      <c r="I455" s="4">
        <v>0</v>
      </c>
    </row>
    <row r="456" spans="1:9" x14ac:dyDescent="0.2">
      <c r="A456" s="2">
        <v>4</v>
      </c>
      <c r="B456" s="1" t="s">
        <v>169</v>
      </c>
      <c r="C456" s="4">
        <v>67</v>
      </c>
      <c r="D456" s="8">
        <v>3.54</v>
      </c>
      <c r="E456" s="4">
        <v>59</v>
      </c>
      <c r="F456" s="8">
        <v>5.46</v>
      </c>
      <c r="G456" s="4">
        <v>8</v>
      </c>
      <c r="H456" s="8">
        <v>1.01</v>
      </c>
      <c r="I456" s="4">
        <v>0</v>
      </c>
    </row>
    <row r="457" spans="1:9" x14ac:dyDescent="0.2">
      <c r="A457" s="2">
        <v>5</v>
      </c>
      <c r="B457" s="1" t="s">
        <v>170</v>
      </c>
      <c r="C457" s="4">
        <v>61</v>
      </c>
      <c r="D457" s="8">
        <v>3.23</v>
      </c>
      <c r="E457" s="4">
        <v>54</v>
      </c>
      <c r="F457" s="8">
        <v>5</v>
      </c>
      <c r="G457" s="4">
        <v>7</v>
      </c>
      <c r="H457" s="8">
        <v>0.88</v>
      </c>
      <c r="I457" s="4">
        <v>0</v>
      </c>
    </row>
    <row r="458" spans="1:9" x14ac:dyDescent="0.2">
      <c r="A458" s="2">
        <v>6</v>
      </c>
      <c r="B458" s="1" t="s">
        <v>175</v>
      </c>
      <c r="C458" s="4">
        <v>56</v>
      </c>
      <c r="D458" s="8">
        <v>2.96</v>
      </c>
      <c r="E458" s="4">
        <v>49</v>
      </c>
      <c r="F458" s="8">
        <v>4.54</v>
      </c>
      <c r="G458" s="4">
        <v>7</v>
      </c>
      <c r="H458" s="8">
        <v>0.88</v>
      </c>
      <c r="I458" s="4">
        <v>0</v>
      </c>
    </row>
    <row r="459" spans="1:9" x14ac:dyDescent="0.2">
      <c r="A459" s="2">
        <v>7</v>
      </c>
      <c r="B459" s="1" t="s">
        <v>174</v>
      </c>
      <c r="C459" s="4">
        <v>47</v>
      </c>
      <c r="D459" s="8">
        <v>2.4900000000000002</v>
      </c>
      <c r="E459" s="4">
        <v>37</v>
      </c>
      <c r="F459" s="8">
        <v>3.43</v>
      </c>
      <c r="G459" s="4">
        <v>10</v>
      </c>
      <c r="H459" s="8">
        <v>1.26</v>
      </c>
      <c r="I459" s="4">
        <v>0</v>
      </c>
    </row>
    <row r="460" spans="1:9" x14ac:dyDescent="0.2">
      <c r="A460" s="2">
        <v>8</v>
      </c>
      <c r="B460" s="1" t="s">
        <v>164</v>
      </c>
      <c r="C460" s="4">
        <v>45</v>
      </c>
      <c r="D460" s="8">
        <v>2.38</v>
      </c>
      <c r="E460" s="4">
        <v>26</v>
      </c>
      <c r="F460" s="8">
        <v>2.41</v>
      </c>
      <c r="G460" s="4">
        <v>19</v>
      </c>
      <c r="H460" s="8">
        <v>2.4</v>
      </c>
      <c r="I460" s="4">
        <v>0</v>
      </c>
    </row>
    <row r="461" spans="1:9" x14ac:dyDescent="0.2">
      <c r="A461" s="2">
        <v>9</v>
      </c>
      <c r="B461" s="1" t="s">
        <v>163</v>
      </c>
      <c r="C461" s="4">
        <v>39</v>
      </c>
      <c r="D461" s="8">
        <v>2.06</v>
      </c>
      <c r="E461" s="4">
        <v>23</v>
      </c>
      <c r="F461" s="8">
        <v>2.13</v>
      </c>
      <c r="G461" s="4">
        <v>16</v>
      </c>
      <c r="H461" s="8">
        <v>2.02</v>
      </c>
      <c r="I461" s="4">
        <v>0</v>
      </c>
    </row>
    <row r="462" spans="1:9" x14ac:dyDescent="0.2">
      <c r="A462" s="2">
        <v>9</v>
      </c>
      <c r="B462" s="1" t="s">
        <v>176</v>
      </c>
      <c r="C462" s="4">
        <v>39</v>
      </c>
      <c r="D462" s="8">
        <v>2.06</v>
      </c>
      <c r="E462" s="4">
        <v>30</v>
      </c>
      <c r="F462" s="8">
        <v>2.78</v>
      </c>
      <c r="G462" s="4">
        <v>9</v>
      </c>
      <c r="H462" s="8">
        <v>1.1399999999999999</v>
      </c>
      <c r="I462" s="4">
        <v>0</v>
      </c>
    </row>
    <row r="463" spans="1:9" x14ac:dyDescent="0.2">
      <c r="A463" s="2">
        <v>11</v>
      </c>
      <c r="B463" s="1" t="s">
        <v>162</v>
      </c>
      <c r="C463" s="4">
        <v>37</v>
      </c>
      <c r="D463" s="8">
        <v>1.96</v>
      </c>
      <c r="E463" s="4">
        <v>26</v>
      </c>
      <c r="F463" s="8">
        <v>2.41</v>
      </c>
      <c r="G463" s="4">
        <v>11</v>
      </c>
      <c r="H463" s="8">
        <v>1.39</v>
      </c>
      <c r="I463" s="4">
        <v>0</v>
      </c>
    </row>
    <row r="464" spans="1:9" x14ac:dyDescent="0.2">
      <c r="A464" s="2">
        <v>12</v>
      </c>
      <c r="B464" s="1" t="s">
        <v>159</v>
      </c>
      <c r="C464" s="4">
        <v>30</v>
      </c>
      <c r="D464" s="8">
        <v>1.59</v>
      </c>
      <c r="E464" s="4">
        <v>11</v>
      </c>
      <c r="F464" s="8">
        <v>1.02</v>
      </c>
      <c r="G464" s="4">
        <v>19</v>
      </c>
      <c r="H464" s="8">
        <v>2.4</v>
      </c>
      <c r="I464" s="4">
        <v>0</v>
      </c>
    </row>
    <row r="465" spans="1:9" x14ac:dyDescent="0.2">
      <c r="A465" s="2">
        <v>12</v>
      </c>
      <c r="B465" s="1" t="s">
        <v>191</v>
      </c>
      <c r="C465" s="4">
        <v>30</v>
      </c>
      <c r="D465" s="8">
        <v>1.59</v>
      </c>
      <c r="E465" s="4">
        <v>29</v>
      </c>
      <c r="F465" s="8">
        <v>2.69</v>
      </c>
      <c r="G465" s="4">
        <v>1</v>
      </c>
      <c r="H465" s="8">
        <v>0.13</v>
      </c>
      <c r="I465" s="4">
        <v>0</v>
      </c>
    </row>
    <row r="466" spans="1:9" x14ac:dyDescent="0.2">
      <c r="A466" s="2">
        <v>14</v>
      </c>
      <c r="B466" s="1" t="s">
        <v>185</v>
      </c>
      <c r="C466" s="4">
        <v>29</v>
      </c>
      <c r="D466" s="8">
        <v>1.53</v>
      </c>
      <c r="E466" s="4">
        <v>6</v>
      </c>
      <c r="F466" s="8">
        <v>0.56000000000000005</v>
      </c>
      <c r="G466" s="4">
        <v>23</v>
      </c>
      <c r="H466" s="8">
        <v>2.9</v>
      </c>
      <c r="I466" s="4">
        <v>0</v>
      </c>
    </row>
    <row r="467" spans="1:9" x14ac:dyDescent="0.2">
      <c r="A467" s="2">
        <v>14</v>
      </c>
      <c r="B467" s="1" t="s">
        <v>171</v>
      </c>
      <c r="C467" s="4">
        <v>29</v>
      </c>
      <c r="D467" s="8">
        <v>1.53</v>
      </c>
      <c r="E467" s="4">
        <v>17</v>
      </c>
      <c r="F467" s="8">
        <v>1.57</v>
      </c>
      <c r="G467" s="4">
        <v>12</v>
      </c>
      <c r="H467" s="8">
        <v>1.52</v>
      </c>
      <c r="I467" s="4">
        <v>0</v>
      </c>
    </row>
    <row r="468" spans="1:9" x14ac:dyDescent="0.2">
      <c r="A468" s="2">
        <v>16</v>
      </c>
      <c r="B468" s="1" t="s">
        <v>157</v>
      </c>
      <c r="C468" s="4">
        <v>28</v>
      </c>
      <c r="D468" s="8">
        <v>1.48</v>
      </c>
      <c r="E468" s="4">
        <v>3</v>
      </c>
      <c r="F468" s="8">
        <v>0.28000000000000003</v>
      </c>
      <c r="G468" s="4">
        <v>25</v>
      </c>
      <c r="H468" s="8">
        <v>3.16</v>
      </c>
      <c r="I468" s="4">
        <v>0</v>
      </c>
    </row>
    <row r="469" spans="1:9" x14ac:dyDescent="0.2">
      <c r="A469" s="2">
        <v>16</v>
      </c>
      <c r="B469" s="1" t="s">
        <v>161</v>
      </c>
      <c r="C469" s="4">
        <v>28</v>
      </c>
      <c r="D469" s="8">
        <v>1.48</v>
      </c>
      <c r="E469" s="4">
        <v>8</v>
      </c>
      <c r="F469" s="8">
        <v>0.74</v>
      </c>
      <c r="G469" s="4">
        <v>20</v>
      </c>
      <c r="H469" s="8">
        <v>2.5299999999999998</v>
      </c>
      <c r="I469" s="4">
        <v>0</v>
      </c>
    </row>
    <row r="470" spans="1:9" x14ac:dyDescent="0.2">
      <c r="A470" s="2">
        <v>18</v>
      </c>
      <c r="B470" s="1" t="s">
        <v>160</v>
      </c>
      <c r="C470" s="4">
        <v>27</v>
      </c>
      <c r="D470" s="8">
        <v>1.43</v>
      </c>
      <c r="E470" s="4">
        <v>8</v>
      </c>
      <c r="F470" s="8">
        <v>0.74</v>
      </c>
      <c r="G470" s="4">
        <v>19</v>
      </c>
      <c r="H470" s="8">
        <v>2.4</v>
      </c>
      <c r="I470" s="4">
        <v>0</v>
      </c>
    </row>
    <row r="471" spans="1:9" x14ac:dyDescent="0.2">
      <c r="A471" s="2">
        <v>18</v>
      </c>
      <c r="B471" s="1" t="s">
        <v>165</v>
      </c>
      <c r="C471" s="4">
        <v>27</v>
      </c>
      <c r="D471" s="8">
        <v>1.43</v>
      </c>
      <c r="E471" s="4">
        <v>9</v>
      </c>
      <c r="F471" s="8">
        <v>0.83</v>
      </c>
      <c r="G471" s="4">
        <v>18</v>
      </c>
      <c r="H471" s="8">
        <v>2.27</v>
      </c>
      <c r="I471" s="4">
        <v>0</v>
      </c>
    </row>
    <row r="472" spans="1:9" x14ac:dyDescent="0.2">
      <c r="A472" s="2">
        <v>18</v>
      </c>
      <c r="B472" s="1" t="s">
        <v>166</v>
      </c>
      <c r="C472" s="4">
        <v>27</v>
      </c>
      <c r="D472" s="8">
        <v>1.43</v>
      </c>
      <c r="E472" s="4">
        <v>3</v>
      </c>
      <c r="F472" s="8">
        <v>0.28000000000000003</v>
      </c>
      <c r="G472" s="4">
        <v>24</v>
      </c>
      <c r="H472" s="8">
        <v>3.03</v>
      </c>
      <c r="I472" s="4">
        <v>0</v>
      </c>
    </row>
    <row r="473" spans="1:9" x14ac:dyDescent="0.2">
      <c r="A473" s="1"/>
      <c r="C473" s="4"/>
      <c r="D473" s="8"/>
      <c r="E473" s="4"/>
      <c r="F473" s="8"/>
      <c r="G473" s="4"/>
      <c r="H473" s="8"/>
      <c r="I473" s="4"/>
    </row>
    <row r="474" spans="1:9" x14ac:dyDescent="0.2">
      <c r="A474" s="1" t="s">
        <v>21</v>
      </c>
      <c r="C474" s="4"/>
      <c r="D474" s="8"/>
      <c r="E474" s="4"/>
      <c r="F474" s="8"/>
      <c r="G474" s="4"/>
      <c r="H474" s="8"/>
      <c r="I474" s="4"/>
    </row>
    <row r="475" spans="1:9" x14ac:dyDescent="0.2">
      <c r="A475" s="2">
        <v>1</v>
      </c>
      <c r="B475" s="1" t="s">
        <v>173</v>
      </c>
      <c r="C475" s="4">
        <v>110</v>
      </c>
      <c r="D475" s="8">
        <v>5.79</v>
      </c>
      <c r="E475" s="4">
        <v>97</v>
      </c>
      <c r="F475" s="8">
        <v>10.199999999999999</v>
      </c>
      <c r="G475" s="4">
        <v>13</v>
      </c>
      <c r="H475" s="8">
        <v>1.38</v>
      </c>
      <c r="I475" s="4">
        <v>0</v>
      </c>
    </row>
    <row r="476" spans="1:9" x14ac:dyDescent="0.2">
      <c r="A476" s="2">
        <v>2</v>
      </c>
      <c r="B476" s="1" t="s">
        <v>170</v>
      </c>
      <c r="C476" s="4">
        <v>73</v>
      </c>
      <c r="D476" s="8">
        <v>3.84</v>
      </c>
      <c r="E476" s="4">
        <v>66</v>
      </c>
      <c r="F476" s="8">
        <v>6.94</v>
      </c>
      <c r="G476" s="4">
        <v>7</v>
      </c>
      <c r="H476" s="8">
        <v>0.74</v>
      </c>
      <c r="I476" s="4">
        <v>0</v>
      </c>
    </row>
    <row r="477" spans="1:9" x14ac:dyDescent="0.2">
      <c r="A477" s="2">
        <v>3</v>
      </c>
      <c r="B477" s="1" t="s">
        <v>172</v>
      </c>
      <c r="C477" s="4">
        <v>65</v>
      </c>
      <c r="D477" s="8">
        <v>3.42</v>
      </c>
      <c r="E477" s="4">
        <v>61</v>
      </c>
      <c r="F477" s="8">
        <v>6.41</v>
      </c>
      <c r="G477" s="4">
        <v>4</v>
      </c>
      <c r="H477" s="8">
        <v>0.42</v>
      </c>
      <c r="I477" s="4">
        <v>0</v>
      </c>
    </row>
    <row r="478" spans="1:9" x14ac:dyDescent="0.2">
      <c r="A478" s="2">
        <v>4</v>
      </c>
      <c r="B478" s="1" t="s">
        <v>169</v>
      </c>
      <c r="C478" s="4">
        <v>58</v>
      </c>
      <c r="D478" s="8">
        <v>3.05</v>
      </c>
      <c r="E478" s="4">
        <v>45</v>
      </c>
      <c r="F478" s="8">
        <v>4.7300000000000004</v>
      </c>
      <c r="G478" s="4">
        <v>13</v>
      </c>
      <c r="H478" s="8">
        <v>1.38</v>
      </c>
      <c r="I478" s="4">
        <v>0</v>
      </c>
    </row>
    <row r="479" spans="1:9" x14ac:dyDescent="0.2">
      <c r="A479" s="2">
        <v>5</v>
      </c>
      <c r="B479" s="1" t="s">
        <v>175</v>
      </c>
      <c r="C479" s="4">
        <v>57</v>
      </c>
      <c r="D479" s="8">
        <v>3</v>
      </c>
      <c r="E479" s="4">
        <v>50</v>
      </c>
      <c r="F479" s="8">
        <v>5.26</v>
      </c>
      <c r="G479" s="4">
        <v>7</v>
      </c>
      <c r="H479" s="8">
        <v>0.74</v>
      </c>
      <c r="I479" s="4">
        <v>0</v>
      </c>
    </row>
    <row r="480" spans="1:9" x14ac:dyDescent="0.2">
      <c r="A480" s="2">
        <v>6</v>
      </c>
      <c r="B480" s="1" t="s">
        <v>174</v>
      </c>
      <c r="C480" s="4">
        <v>56</v>
      </c>
      <c r="D480" s="8">
        <v>2.95</v>
      </c>
      <c r="E480" s="4">
        <v>45</v>
      </c>
      <c r="F480" s="8">
        <v>4.7300000000000004</v>
      </c>
      <c r="G480" s="4">
        <v>11</v>
      </c>
      <c r="H480" s="8">
        <v>1.17</v>
      </c>
      <c r="I480" s="4">
        <v>0</v>
      </c>
    </row>
    <row r="481" spans="1:9" x14ac:dyDescent="0.2">
      <c r="A481" s="2">
        <v>7</v>
      </c>
      <c r="B481" s="1" t="s">
        <v>167</v>
      </c>
      <c r="C481" s="4">
        <v>54</v>
      </c>
      <c r="D481" s="8">
        <v>2.84</v>
      </c>
      <c r="E481" s="4">
        <v>22</v>
      </c>
      <c r="F481" s="8">
        <v>2.31</v>
      </c>
      <c r="G481" s="4">
        <v>32</v>
      </c>
      <c r="H481" s="8">
        <v>3.39</v>
      </c>
      <c r="I481" s="4">
        <v>0</v>
      </c>
    </row>
    <row r="482" spans="1:9" x14ac:dyDescent="0.2">
      <c r="A482" s="2">
        <v>8</v>
      </c>
      <c r="B482" s="1" t="s">
        <v>159</v>
      </c>
      <c r="C482" s="4">
        <v>47</v>
      </c>
      <c r="D482" s="8">
        <v>2.4700000000000002</v>
      </c>
      <c r="E482" s="4">
        <v>22</v>
      </c>
      <c r="F482" s="8">
        <v>2.31</v>
      </c>
      <c r="G482" s="4">
        <v>25</v>
      </c>
      <c r="H482" s="8">
        <v>2.65</v>
      </c>
      <c r="I482" s="4">
        <v>0</v>
      </c>
    </row>
    <row r="483" spans="1:9" x14ac:dyDescent="0.2">
      <c r="A483" s="2">
        <v>9</v>
      </c>
      <c r="B483" s="1" t="s">
        <v>163</v>
      </c>
      <c r="C483" s="4">
        <v>46</v>
      </c>
      <c r="D483" s="8">
        <v>2.42</v>
      </c>
      <c r="E483" s="4">
        <v>18</v>
      </c>
      <c r="F483" s="8">
        <v>1.89</v>
      </c>
      <c r="G483" s="4">
        <v>28</v>
      </c>
      <c r="H483" s="8">
        <v>2.97</v>
      </c>
      <c r="I483" s="4">
        <v>0</v>
      </c>
    </row>
    <row r="484" spans="1:9" x14ac:dyDescent="0.2">
      <c r="A484" s="2">
        <v>10</v>
      </c>
      <c r="B484" s="1" t="s">
        <v>176</v>
      </c>
      <c r="C484" s="4">
        <v>41</v>
      </c>
      <c r="D484" s="8">
        <v>2.16</v>
      </c>
      <c r="E484" s="4">
        <v>27</v>
      </c>
      <c r="F484" s="8">
        <v>2.84</v>
      </c>
      <c r="G484" s="4">
        <v>14</v>
      </c>
      <c r="H484" s="8">
        <v>1.48</v>
      </c>
      <c r="I484" s="4">
        <v>0</v>
      </c>
    </row>
    <row r="485" spans="1:9" x14ac:dyDescent="0.2">
      <c r="A485" s="2">
        <v>11</v>
      </c>
      <c r="B485" s="1" t="s">
        <v>160</v>
      </c>
      <c r="C485" s="4">
        <v>36</v>
      </c>
      <c r="D485" s="8">
        <v>1.89</v>
      </c>
      <c r="E485" s="4">
        <v>7</v>
      </c>
      <c r="F485" s="8">
        <v>0.74</v>
      </c>
      <c r="G485" s="4">
        <v>29</v>
      </c>
      <c r="H485" s="8">
        <v>3.07</v>
      </c>
      <c r="I485" s="4">
        <v>0</v>
      </c>
    </row>
    <row r="486" spans="1:9" x14ac:dyDescent="0.2">
      <c r="A486" s="2">
        <v>12</v>
      </c>
      <c r="B486" s="1" t="s">
        <v>164</v>
      </c>
      <c r="C486" s="4">
        <v>34</v>
      </c>
      <c r="D486" s="8">
        <v>1.79</v>
      </c>
      <c r="E486" s="4">
        <v>23</v>
      </c>
      <c r="F486" s="8">
        <v>2.42</v>
      </c>
      <c r="G486" s="4">
        <v>11</v>
      </c>
      <c r="H486" s="8">
        <v>1.17</v>
      </c>
      <c r="I486" s="4">
        <v>0</v>
      </c>
    </row>
    <row r="487" spans="1:9" x14ac:dyDescent="0.2">
      <c r="A487" s="2">
        <v>13</v>
      </c>
      <c r="B487" s="1" t="s">
        <v>185</v>
      </c>
      <c r="C487" s="4">
        <v>31</v>
      </c>
      <c r="D487" s="8">
        <v>1.63</v>
      </c>
      <c r="E487" s="4">
        <v>9</v>
      </c>
      <c r="F487" s="8">
        <v>0.95</v>
      </c>
      <c r="G487" s="4">
        <v>22</v>
      </c>
      <c r="H487" s="8">
        <v>2.33</v>
      </c>
      <c r="I487" s="4">
        <v>0</v>
      </c>
    </row>
    <row r="488" spans="1:9" x14ac:dyDescent="0.2">
      <c r="A488" s="2">
        <v>14</v>
      </c>
      <c r="B488" s="1" t="s">
        <v>178</v>
      </c>
      <c r="C488" s="4">
        <v>29</v>
      </c>
      <c r="D488" s="8">
        <v>1.53</v>
      </c>
      <c r="E488" s="4">
        <v>9</v>
      </c>
      <c r="F488" s="8">
        <v>0.95</v>
      </c>
      <c r="G488" s="4">
        <v>19</v>
      </c>
      <c r="H488" s="8">
        <v>2.0099999999999998</v>
      </c>
      <c r="I488" s="4">
        <v>0</v>
      </c>
    </row>
    <row r="489" spans="1:9" x14ac:dyDescent="0.2">
      <c r="A489" s="2">
        <v>15</v>
      </c>
      <c r="B489" s="1" t="s">
        <v>157</v>
      </c>
      <c r="C489" s="4">
        <v>27</v>
      </c>
      <c r="D489" s="8">
        <v>1.42</v>
      </c>
      <c r="E489" s="4">
        <v>2</v>
      </c>
      <c r="F489" s="8">
        <v>0.21</v>
      </c>
      <c r="G489" s="4">
        <v>25</v>
      </c>
      <c r="H489" s="8">
        <v>2.65</v>
      </c>
      <c r="I489" s="4">
        <v>0</v>
      </c>
    </row>
    <row r="490" spans="1:9" x14ac:dyDescent="0.2">
      <c r="A490" s="2">
        <v>15</v>
      </c>
      <c r="B490" s="1" t="s">
        <v>161</v>
      </c>
      <c r="C490" s="4">
        <v>27</v>
      </c>
      <c r="D490" s="8">
        <v>1.42</v>
      </c>
      <c r="E490" s="4">
        <v>7</v>
      </c>
      <c r="F490" s="8">
        <v>0.74</v>
      </c>
      <c r="G490" s="4">
        <v>20</v>
      </c>
      <c r="H490" s="8">
        <v>2.12</v>
      </c>
      <c r="I490" s="4">
        <v>0</v>
      </c>
    </row>
    <row r="491" spans="1:9" x14ac:dyDescent="0.2">
      <c r="A491" s="2">
        <v>17</v>
      </c>
      <c r="B491" s="1" t="s">
        <v>162</v>
      </c>
      <c r="C491" s="4">
        <v>26</v>
      </c>
      <c r="D491" s="8">
        <v>1.37</v>
      </c>
      <c r="E491" s="4">
        <v>17</v>
      </c>
      <c r="F491" s="8">
        <v>1.79</v>
      </c>
      <c r="G491" s="4">
        <v>9</v>
      </c>
      <c r="H491" s="8">
        <v>0.95</v>
      </c>
      <c r="I491" s="4">
        <v>0</v>
      </c>
    </row>
    <row r="492" spans="1:9" x14ac:dyDescent="0.2">
      <c r="A492" s="2">
        <v>18</v>
      </c>
      <c r="B492" s="1" t="s">
        <v>158</v>
      </c>
      <c r="C492" s="4">
        <v>25</v>
      </c>
      <c r="D492" s="8">
        <v>1.32</v>
      </c>
      <c r="E492" s="4">
        <v>3</v>
      </c>
      <c r="F492" s="8">
        <v>0.32</v>
      </c>
      <c r="G492" s="4">
        <v>22</v>
      </c>
      <c r="H492" s="8">
        <v>2.33</v>
      </c>
      <c r="I492" s="4">
        <v>0</v>
      </c>
    </row>
    <row r="493" spans="1:9" x14ac:dyDescent="0.2">
      <c r="A493" s="2">
        <v>18</v>
      </c>
      <c r="B493" s="1" t="s">
        <v>188</v>
      </c>
      <c r="C493" s="4">
        <v>25</v>
      </c>
      <c r="D493" s="8">
        <v>1.32</v>
      </c>
      <c r="E493" s="4">
        <v>13</v>
      </c>
      <c r="F493" s="8">
        <v>1.37</v>
      </c>
      <c r="G493" s="4">
        <v>12</v>
      </c>
      <c r="H493" s="8">
        <v>1.27</v>
      </c>
      <c r="I493" s="4">
        <v>0</v>
      </c>
    </row>
    <row r="494" spans="1:9" x14ac:dyDescent="0.2">
      <c r="A494" s="2">
        <v>20</v>
      </c>
      <c r="B494" s="1" t="s">
        <v>180</v>
      </c>
      <c r="C494" s="4">
        <v>23</v>
      </c>
      <c r="D494" s="8">
        <v>1.21</v>
      </c>
      <c r="E494" s="4">
        <v>8</v>
      </c>
      <c r="F494" s="8">
        <v>0.84</v>
      </c>
      <c r="G494" s="4">
        <v>15</v>
      </c>
      <c r="H494" s="8">
        <v>1.59</v>
      </c>
      <c r="I494" s="4">
        <v>0</v>
      </c>
    </row>
    <row r="495" spans="1:9" x14ac:dyDescent="0.2">
      <c r="A495" s="2">
        <v>20</v>
      </c>
      <c r="B495" s="1" t="s">
        <v>205</v>
      </c>
      <c r="C495" s="4">
        <v>23</v>
      </c>
      <c r="D495" s="8">
        <v>1.21</v>
      </c>
      <c r="E495" s="4">
        <v>17</v>
      </c>
      <c r="F495" s="8">
        <v>1.79</v>
      </c>
      <c r="G495" s="4">
        <v>6</v>
      </c>
      <c r="H495" s="8">
        <v>0.64</v>
      </c>
      <c r="I495" s="4">
        <v>0</v>
      </c>
    </row>
    <row r="496" spans="1:9" x14ac:dyDescent="0.2">
      <c r="A496" s="2">
        <v>20</v>
      </c>
      <c r="B496" s="1" t="s">
        <v>192</v>
      </c>
      <c r="C496" s="4">
        <v>23</v>
      </c>
      <c r="D496" s="8">
        <v>1.21</v>
      </c>
      <c r="E496" s="4">
        <v>18</v>
      </c>
      <c r="F496" s="8">
        <v>1.89</v>
      </c>
      <c r="G496" s="4">
        <v>5</v>
      </c>
      <c r="H496" s="8">
        <v>0.53</v>
      </c>
      <c r="I496" s="4">
        <v>0</v>
      </c>
    </row>
    <row r="497" spans="1:9" x14ac:dyDescent="0.2">
      <c r="A497" s="1"/>
      <c r="C497" s="4"/>
      <c r="D497" s="8"/>
      <c r="E497" s="4"/>
      <c r="F497" s="8"/>
      <c r="G497" s="4"/>
      <c r="H497" s="8"/>
      <c r="I497" s="4"/>
    </row>
    <row r="498" spans="1:9" x14ac:dyDescent="0.2">
      <c r="A498" s="1" t="s">
        <v>22</v>
      </c>
      <c r="C498" s="4"/>
      <c r="D498" s="8"/>
      <c r="E498" s="4"/>
      <c r="F498" s="8"/>
      <c r="G498" s="4"/>
      <c r="H498" s="8"/>
      <c r="I498" s="4"/>
    </row>
    <row r="499" spans="1:9" x14ac:dyDescent="0.2">
      <c r="A499" s="2">
        <v>1</v>
      </c>
      <c r="B499" s="1" t="s">
        <v>173</v>
      </c>
      <c r="C499" s="4">
        <v>255</v>
      </c>
      <c r="D499" s="8">
        <v>6.07</v>
      </c>
      <c r="E499" s="4">
        <v>228</v>
      </c>
      <c r="F499" s="8">
        <v>10.33</v>
      </c>
      <c r="G499" s="4">
        <v>27</v>
      </c>
      <c r="H499" s="8">
        <v>1.37</v>
      </c>
      <c r="I499" s="4">
        <v>0</v>
      </c>
    </row>
    <row r="500" spans="1:9" x14ac:dyDescent="0.2">
      <c r="A500" s="2">
        <v>2</v>
      </c>
      <c r="B500" s="1" t="s">
        <v>172</v>
      </c>
      <c r="C500" s="4">
        <v>181</v>
      </c>
      <c r="D500" s="8">
        <v>4.3099999999999996</v>
      </c>
      <c r="E500" s="4">
        <v>174</v>
      </c>
      <c r="F500" s="8">
        <v>7.88</v>
      </c>
      <c r="G500" s="4">
        <v>7</v>
      </c>
      <c r="H500" s="8">
        <v>0.36</v>
      </c>
      <c r="I500" s="4">
        <v>0</v>
      </c>
    </row>
    <row r="501" spans="1:9" x14ac:dyDescent="0.2">
      <c r="A501" s="2">
        <v>3</v>
      </c>
      <c r="B501" s="1" t="s">
        <v>170</v>
      </c>
      <c r="C501" s="4">
        <v>162</v>
      </c>
      <c r="D501" s="8">
        <v>3.85</v>
      </c>
      <c r="E501" s="4">
        <v>155</v>
      </c>
      <c r="F501" s="8">
        <v>7.02</v>
      </c>
      <c r="G501" s="4">
        <v>7</v>
      </c>
      <c r="H501" s="8">
        <v>0.36</v>
      </c>
      <c r="I501" s="4">
        <v>0</v>
      </c>
    </row>
    <row r="502" spans="1:9" x14ac:dyDescent="0.2">
      <c r="A502" s="2">
        <v>4</v>
      </c>
      <c r="B502" s="1" t="s">
        <v>167</v>
      </c>
      <c r="C502" s="4">
        <v>155</v>
      </c>
      <c r="D502" s="8">
        <v>3.69</v>
      </c>
      <c r="E502" s="4">
        <v>98</v>
      </c>
      <c r="F502" s="8">
        <v>4.4400000000000004</v>
      </c>
      <c r="G502" s="4">
        <v>57</v>
      </c>
      <c r="H502" s="8">
        <v>2.89</v>
      </c>
      <c r="I502" s="4">
        <v>0</v>
      </c>
    </row>
    <row r="503" spans="1:9" x14ac:dyDescent="0.2">
      <c r="A503" s="2">
        <v>5</v>
      </c>
      <c r="B503" s="1" t="s">
        <v>175</v>
      </c>
      <c r="C503" s="4">
        <v>127</v>
      </c>
      <c r="D503" s="8">
        <v>3.02</v>
      </c>
      <c r="E503" s="4">
        <v>114</v>
      </c>
      <c r="F503" s="8">
        <v>5.16</v>
      </c>
      <c r="G503" s="4">
        <v>13</v>
      </c>
      <c r="H503" s="8">
        <v>0.66</v>
      </c>
      <c r="I503" s="4">
        <v>0</v>
      </c>
    </row>
    <row r="504" spans="1:9" x14ac:dyDescent="0.2">
      <c r="A504" s="2">
        <v>6</v>
      </c>
      <c r="B504" s="1" t="s">
        <v>174</v>
      </c>
      <c r="C504" s="4">
        <v>125</v>
      </c>
      <c r="D504" s="8">
        <v>2.97</v>
      </c>
      <c r="E504" s="4">
        <v>93</v>
      </c>
      <c r="F504" s="8">
        <v>4.21</v>
      </c>
      <c r="G504" s="4">
        <v>32</v>
      </c>
      <c r="H504" s="8">
        <v>1.63</v>
      </c>
      <c r="I504" s="4">
        <v>0</v>
      </c>
    </row>
    <row r="505" spans="1:9" x14ac:dyDescent="0.2">
      <c r="A505" s="2">
        <v>7</v>
      </c>
      <c r="B505" s="1" t="s">
        <v>169</v>
      </c>
      <c r="C505" s="4">
        <v>121</v>
      </c>
      <c r="D505" s="8">
        <v>2.88</v>
      </c>
      <c r="E505" s="4">
        <v>107</v>
      </c>
      <c r="F505" s="8">
        <v>4.8499999999999996</v>
      </c>
      <c r="G505" s="4">
        <v>14</v>
      </c>
      <c r="H505" s="8">
        <v>0.71</v>
      </c>
      <c r="I505" s="4">
        <v>0</v>
      </c>
    </row>
    <row r="506" spans="1:9" x14ac:dyDescent="0.2">
      <c r="A506" s="2">
        <v>8</v>
      </c>
      <c r="B506" s="1" t="s">
        <v>166</v>
      </c>
      <c r="C506" s="4">
        <v>75</v>
      </c>
      <c r="D506" s="8">
        <v>1.78</v>
      </c>
      <c r="E506" s="4">
        <v>15</v>
      </c>
      <c r="F506" s="8">
        <v>0.68</v>
      </c>
      <c r="G506" s="4">
        <v>60</v>
      </c>
      <c r="H506" s="8">
        <v>3.05</v>
      </c>
      <c r="I506" s="4">
        <v>0</v>
      </c>
    </row>
    <row r="507" spans="1:9" x14ac:dyDescent="0.2">
      <c r="A507" s="2">
        <v>9</v>
      </c>
      <c r="B507" s="1" t="s">
        <v>163</v>
      </c>
      <c r="C507" s="4">
        <v>72</v>
      </c>
      <c r="D507" s="8">
        <v>1.71</v>
      </c>
      <c r="E507" s="4">
        <v>27</v>
      </c>
      <c r="F507" s="8">
        <v>1.22</v>
      </c>
      <c r="G507" s="4">
        <v>45</v>
      </c>
      <c r="H507" s="8">
        <v>2.29</v>
      </c>
      <c r="I507" s="4">
        <v>0</v>
      </c>
    </row>
    <row r="508" spans="1:9" x14ac:dyDescent="0.2">
      <c r="A508" s="2">
        <v>9</v>
      </c>
      <c r="B508" s="1" t="s">
        <v>185</v>
      </c>
      <c r="C508" s="4">
        <v>72</v>
      </c>
      <c r="D508" s="8">
        <v>1.71</v>
      </c>
      <c r="E508" s="4">
        <v>26</v>
      </c>
      <c r="F508" s="8">
        <v>1.18</v>
      </c>
      <c r="G508" s="4">
        <v>46</v>
      </c>
      <c r="H508" s="8">
        <v>2.34</v>
      </c>
      <c r="I508" s="4">
        <v>0</v>
      </c>
    </row>
    <row r="509" spans="1:9" x14ac:dyDescent="0.2">
      <c r="A509" s="2">
        <v>11</v>
      </c>
      <c r="B509" s="1" t="s">
        <v>176</v>
      </c>
      <c r="C509" s="4">
        <v>69</v>
      </c>
      <c r="D509" s="8">
        <v>1.64</v>
      </c>
      <c r="E509" s="4">
        <v>47</v>
      </c>
      <c r="F509" s="8">
        <v>2.13</v>
      </c>
      <c r="G509" s="4">
        <v>22</v>
      </c>
      <c r="H509" s="8">
        <v>1.1200000000000001</v>
      </c>
      <c r="I509" s="4">
        <v>0</v>
      </c>
    </row>
    <row r="510" spans="1:9" x14ac:dyDescent="0.2">
      <c r="A510" s="2">
        <v>12</v>
      </c>
      <c r="B510" s="1" t="s">
        <v>164</v>
      </c>
      <c r="C510" s="4">
        <v>66</v>
      </c>
      <c r="D510" s="8">
        <v>1.57</v>
      </c>
      <c r="E510" s="4">
        <v>36</v>
      </c>
      <c r="F510" s="8">
        <v>1.63</v>
      </c>
      <c r="G510" s="4">
        <v>30</v>
      </c>
      <c r="H510" s="8">
        <v>1.52</v>
      </c>
      <c r="I510" s="4">
        <v>0</v>
      </c>
    </row>
    <row r="511" spans="1:9" x14ac:dyDescent="0.2">
      <c r="A511" s="2">
        <v>13</v>
      </c>
      <c r="B511" s="1" t="s">
        <v>159</v>
      </c>
      <c r="C511" s="4">
        <v>65</v>
      </c>
      <c r="D511" s="8">
        <v>1.55</v>
      </c>
      <c r="E511" s="4">
        <v>29</v>
      </c>
      <c r="F511" s="8">
        <v>1.31</v>
      </c>
      <c r="G511" s="4">
        <v>36</v>
      </c>
      <c r="H511" s="8">
        <v>1.83</v>
      </c>
      <c r="I511" s="4">
        <v>0</v>
      </c>
    </row>
    <row r="512" spans="1:9" x14ac:dyDescent="0.2">
      <c r="A512" s="2">
        <v>14</v>
      </c>
      <c r="B512" s="1" t="s">
        <v>158</v>
      </c>
      <c r="C512" s="4">
        <v>62</v>
      </c>
      <c r="D512" s="8">
        <v>1.47</v>
      </c>
      <c r="E512" s="4">
        <v>8</v>
      </c>
      <c r="F512" s="8">
        <v>0.36</v>
      </c>
      <c r="G512" s="4">
        <v>54</v>
      </c>
      <c r="H512" s="8">
        <v>2.74</v>
      </c>
      <c r="I512" s="4">
        <v>0</v>
      </c>
    </row>
    <row r="513" spans="1:9" x14ac:dyDescent="0.2">
      <c r="A513" s="2">
        <v>15</v>
      </c>
      <c r="B513" s="1" t="s">
        <v>178</v>
      </c>
      <c r="C513" s="4">
        <v>61</v>
      </c>
      <c r="D513" s="8">
        <v>1.45</v>
      </c>
      <c r="E513" s="4">
        <v>17</v>
      </c>
      <c r="F513" s="8">
        <v>0.77</v>
      </c>
      <c r="G513" s="4">
        <v>41</v>
      </c>
      <c r="H513" s="8">
        <v>2.08</v>
      </c>
      <c r="I513" s="4">
        <v>0</v>
      </c>
    </row>
    <row r="514" spans="1:9" x14ac:dyDescent="0.2">
      <c r="A514" s="2">
        <v>15</v>
      </c>
      <c r="B514" s="1" t="s">
        <v>171</v>
      </c>
      <c r="C514" s="4">
        <v>61</v>
      </c>
      <c r="D514" s="8">
        <v>1.45</v>
      </c>
      <c r="E514" s="4">
        <v>35</v>
      </c>
      <c r="F514" s="8">
        <v>1.59</v>
      </c>
      <c r="G514" s="4">
        <v>26</v>
      </c>
      <c r="H514" s="8">
        <v>1.32</v>
      </c>
      <c r="I514" s="4">
        <v>0</v>
      </c>
    </row>
    <row r="515" spans="1:9" x14ac:dyDescent="0.2">
      <c r="A515" s="2">
        <v>17</v>
      </c>
      <c r="B515" s="1" t="s">
        <v>162</v>
      </c>
      <c r="C515" s="4">
        <v>60</v>
      </c>
      <c r="D515" s="8">
        <v>1.43</v>
      </c>
      <c r="E515" s="4">
        <v>44</v>
      </c>
      <c r="F515" s="8">
        <v>1.99</v>
      </c>
      <c r="G515" s="4">
        <v>16</v>
      </c>
      <c r="H515" s="8">
        <v>0.81</v>
      </c>
      <c r="I515" s="4">
        <v>0</v>
      </c>
    </row>
    <row r="516" spans="1:9" x14ac:dyDescent="0.2">
      <c r="A516" s="2">
        <v>18</v>
      </c>
      <c r="B516" s="1" t="s">
        <v>177</v>
      </c>
      <c r="C516" s="4">
        <v>57</v>
      </c>
      <c r="D516" s="8">
        <v>1.36</v>
      </c>
      <c r="E516" s="4">
        <v>16</v>
      </c>
      <c r="F516" s="8">
        <v>0.72</v>
      </c>
      <c r="G516" s="4">
        <v>41</v>
      </c>
      <c r="H516" s="8">
        <v>2.08</v>
      </c>
      <c r="I516" s="4">
        <v>0</v>
      </c>
    </row>
    <row r="517" spans="1:9" x14ac:dyDescent="0.2">
      <c r="A517" s="2">
        <v>19</v>
      </c>
      <c r="B517" s="1" t="s">
        <v>161</v>
      </c>
      <c r="C517" s="4">
        <v>56</v>
      </c>
      <c r="D517" s="8">
        <v>1.33</v>
      </c>
      <c r="E517" s="4">
        <v>11</v>
      </c>
      <c r="F517" s="8">
        <v>0.5</v>
      </c>
      <c r="G517" s="4">
        <v>45</v>
      </c>
      <c r="H517" s="8">
        <v>2.29</v>
      </c>
      <c r="I517" s="4">
        <v>0</v>
      </c>
    </row>
    <row r="518" spans="1:9" x14ac:dyDescent="0.2">
      <c r="A518" s="2">
        <v>20</v>
      </c>
      <c r="B518" s="1" t="s">
        <v>188</v>
      </c>
      <c r="C518" s="4">
        <v>54</v>
      </c>
      <c r="D518" s="8">
        <v>1.28</v>
      </c>
      <c r="E518" s="4">
        <v>40</v>
      </c>
      <c r="F518" s="8">
        <v>1.81</v>
      </c>
      <c r="G518" s="4">
        <v>14</v>
      </c>
      <c r="H518" s="8">
        <v>0.71</v>
      </c>
      <c r="I518" s="4">
        <v>0</v>
      </c>
    </row>
    <row r="519" spans="1:9" x14ac:dyDescent="0.2">
      <c r="A519" s="1"/>
      <c r="C519" s="4"/>
      <c r="D519" s="8"/>
      <c r="E519" s="4"/>
      <c r="F519" s="8"/>
      <c r="G519" s="4"/>
      <c r="H519" s="8"/>
      <c r="I519" s="4"/>
    </row>
    <row r="520" spans="1:9" x14ac:dyDescent="0.2">
      <c r="A520" s="1" t="s">
        <v>23</v>
      </c>
      <c r="C520" s="4"/>
      <c r="D520" s="8"/>
      <c r="E520" s="4"/>
      <c r="F520" s="8"/>
      <c r="G520" s="4"/>
      <c r="H520" s="8"/>
      <c r="I520" s="4"/>
    </row>
    <row r="521" spans="1:9" x14ac:dyDescent="0.2">
      <c r="A521" s="2">
        <v>1</v>
      </c>
      <c r="B521" s="1" t="s">
        <v>173</v>
      </c>
      <c r="C521" s="4">
        <v>128</v>
      </c>
      <c r="D521" s="8">
        <v>4.95</v>
      </c>
      <c r="E521" s="4">
        <v>111</v>
      </c>
      <c r="F521" s="8">
        <v>8.8699999999999992</v>
      </c>
      <c r="G521" s="4">
        <v>17</v>
      </c>
      <c r="H521" s="8">
        <v>1.29</v>
      </c>
      <c r="I521" s="4">
        <v>0</v>
      </c>
    </row>
    <row r="522" spans="1:9" x14ac:dyDescent="0.2">
      <c r="A522" s="2">
        <v>2</v>
      </c>
      <c r="B522" s="1" t="s">
        <v>167</v>
      </c>
      <c r="C522" s="4">
        <v>100</v>
      </c>
      <c r="D522" s="8">
        <v>3.87</v>
      </c>
      <c r="E522" s="4">
        <v>51</v>
      </c>
      <c r="F522" s="8">
        <v>4.08</v>
      </c>
      <c r="G522" s="4">
        <v>49</v>
      </c>
      <c r="H522" s="8">
        <v>3.73</v>
      </c>
      <c r="I522" s="4">
        <v>0</v>
      </c>
    </row>
    <row r="523" spans="1:9" x14ac:dyDescent="0.2">
      <c r="A523" s="2">
        <v>3</v>
      </c>
      <c r="B523" s="1" t="s">
        <v>172</v>
      </c>
      <c r="C523" s="4">
        <v>87</v>
      </c>
      <c r="D523" s="8">
        <v>3.37</v>
      </c>
      <c r="E523" s="4">
        <v>79</v>
      </c>
      <c r="F523" s="8">
        <v>6.31</v>
      </c>
      <c r="G523" s="4">
        <v>8</v>
      </c>
      <c r="H523" s="8">
        <v>0.61</v>
      </c>
      <c r="I523" s="4">
        <v>0</v>
      </c>
    </row>
    <row r="524" spans="1:9" x14ac:dyDescent="0.2">
      <c r="A524" s="2">
        <v>4</v>
      </c>
      <c r="B524" s="1" t="s">
        <v>174</v>
      </c>
      <c r="C524" s="4">
        <v>86</v>
      </c>
      <c r="D524" s="8">
        <v>3.33</v>
      </c>
      <c r="E524" s="4">
        <v>74</v>
      </c>
      <c r="F524" s="8">
        <v>5.92</v>
      </c>
      <c r="G524" s="4">
        <v>11</v>
      </c>
      <c r="H524" s="8">
        <v>0.84</v>
      </c>
      <c r="I524" s="4">
        <v>1</v>
      </c>
    </row>
    <row r="525" spans="1:9" x14ac:dyDescent="0.2">
      <c r="A525" s="2">
        <v>5</v>
      </c>
      <c r="B525" s="1" t="s">
        <v>175</v>
      </c>
      <c r="C525" s="4">
        <v>82</v>
      </c>
      <c r="D525" s="8">
        <v>3.17</v>
      </c>
      <c r="E525" s="4">
        <v>72</v>
      </c>
      <c r="F525" s="8">
        <v>5.76</v>
      </c>
      <c r="G525" s="4">
        <v>10</v>
      </c>
      <c r="H525" s="8">
        <v>0.76</v>
      </c>
      <c r="I525" s="4">
        <v>0</v>
      </c>
    </row>
    <row r="526" spans="1:9" x14ac:dyDescent="0.2">
      <c r="A526" s="2">
        <v>6</v>
      </c>
      <c r="B526" s="1" t="s">
        <v>170</v>
      </c>
      <c r="C526" s="4">
        <v>76</v>
      </c>
      <c r="D526" s="8">
        <v>2.94</v>
      </c>
      <c r="E526" s="4">
        <v>72</v>
      </c>
      <c r="F526" s="8">
        <v>5.76</v>
      </c>
      <c r="G526" s="4">
        <v>4</v>
      </c>
      <c r="H526" s="8">
        <v>0.3</v>
      </c>
      <c r="I526" s="4">
        <v>0</v>
      </c>
    </row>
    <row r="527" spans="1:9" x14ac:dyDescent="0.2">
      <c r="A527" s="2">
        <v>7</v>
      </c>
      <c r="B527" s="1" t="s">
        <v>169</v>
      </c>
      <c r="C527" s="4">
        <v>73</v>
      </c>
      <c r="D527" s="8">
        <v>2.83</v>
      </c>
      <c r="E527" s="4">
        <v>62</v>
      </c>
      <c r="F527" s="8">
        <v>4.96</v>
      </c>
      <c r="G527" s="4">
        <v>11</v>
      </c>
      <c r="H527" s="8">
        <v>0.84</v>
      </c>
      <c r="I527" s="4">
        <v>0</v>
      </c>
    </row>
    <row r="528" spans="1:9" x14ac:dyDescent="0.2">
      <c r="A528" s="2">
        <v>8</v>
      </c>
      <c r="B528" s="1" t="s">
        <v>162</v>
      </c>
      <c r="C528" s="4">
        <v>62</v>
      </c>
      <c r="D528" s="8">
        <v>2.4</v>
      </c>
      <c r="E528" s="4">
        <v>40</v>
      </c>
      <c r="F528" s="8">
        <v>3.2</v>
      </c>
      <c r="G528" s="4">
        <v>22</v>
      </c>
      <c r="H528" s="8">
        <v>1.67</v>
      </c>
      <c r="I528" s="4">
        <v>0</v>
      </c>
    </row>
    <row r="529" spans="1:9" x14ac:dyDescent="0.2">
      <c r="A529" s="2">
        <v>9</v>
      </c>
      <c r="B529" s="1" t="s">
        <v>160</v>
      </c>
      <c r="C529" s="4">
        <v>59</v>
      </c>
      <c r="D529" s="8">
        <v>2.2799999999999998</v>
      </c>
      <c r="E529" s="4">
        <v>10</v>
      </c>
      <c r="F529" s="8">
        <v>0.8</v>
      </c>
      <c r="G529" s="4">
        <v>49</v>
      </c>
      <c r="H529" s="8">
        <v>3.73</v>
      </c>
      <c r="I529" s="4">
        <v>0</v>
      </c>
    </row>
    <row r="530" spans="1:9" x14ac:dyDescent="0.2">
      <c r="A530" s="2">
        <v>10</v>
      </c>
      <c r="B530" s="1" t="s">
        <v>163</v>
      </c>
      <c r="C530" s="4">
        <v>57</v>
      </c>
      <c r="D530" s="8">
        <v>2.21</v>
      </c>
      <c r="E530" s="4">
        <v>26</v>
      </c>
      <c r="F530" s="8">
        <v>2.08</v>
      </c>
      <c r="G530" s="4">
        <v>31</v>
      </c>
      <c r="H530" s="8">
        <v>2.36</v>
      </c>
      <c r="I530" s="4">
        <v>0</v>
      </c>
    </row>
    <row r="531" spans="1:9" x14ac:dyDescent="0.2">
      <c r="A531" s="2">
        <v>11</v>
      </c>
      <c r="B531" s="1" t="s">
        <v>166</v>
      </c>
      <c r="C531" s="4">
        <v>54</v>
      </c>
      <c r="D531" s="8">
        <v>2.09</v>
      </c>
      <c r="E531" s="4">
        <v>10</v>
      </c>
      <c r="F531" s="8">
        <v>0.8</v>
      </c>
      <c r="G531" s="4">
        <v>44</v>
      </c>
      <c r="H531" s="8">
        <v>3.35</v>
      </c>
      <c r="I531" s="4">
        <v>0</v>
      </c>
    </row>
    <row r="532" spans="1:9" x14ac:dyDescent="0.2">
      <c r="A532" s="2">
        <v>12</v>
      </c>
      <c r="B532" s="1" t="s">
        <v>177</v>
      </c>
      <c r="C532" s="4">
        <v>42</v>
      </c>
      <c r="D532" s="8">
        <v>1.63</v>
      </c>
      <c r="E532" s="4">
        <v>13</v>
      </c>
      <c r="F532" s="8">
        <v>1.04</v>
      </c>
      <c r="G532" s="4">
        <v>29</v>
      </c>
      <c r="H532" s="8">
        <v>2.21</v>
      </c>
      <c r="I532" s="4">
        <v>0</v>
      </c>
    </row>
    <row r="533" spans="1:9" x14ac:dyDescent="0.2">
      <c r="A533" s="2">
        <v>12</v>
      </c>
      <c r="B533" s="1" t="s">
        <v>188</v>
      </c>
      <c r="C533" s="4">
        <v>42</v>
      </c>
      <c r="D533" s="8">
        <v>1.63</v>
      </c>
      <c r="E533" s="4">
        <v>27</v>
      </c>
      <c r="F533" s="8">
        <v>2.16</v>
      </c>
      <c r="G533" s="4">
        <v>15</v>
      </c>
      <c r="H533" s="8">
        <v>1.1399999999999999</v>
      </c>
      <c r="I533" s="4">
        <v>0</v>
      </c>
    </row>
    <row r="534" spans="1:9" x14ac:dyDescent="0.2">
      <c r="A534" s="2">
        <v>14</v>
      </c>
      <c r="B534" s="1" t="s">
        <v>161</v>
      </c>
      <c r="C534" s="4">
        <v>40</v>
      </c>
      <c r="D534" s="8">
        <v>1.55</v>
      </c>
      <c r="E534" s="4">
        <v>13</v>
      </c>
      <c r="F534" s="8">
        <v>1.04</v>
      </c>
      <c r="G534" s="4">
        <v>27</v>
      </c>
      <c r="H534" s="8">
        <v>2.0499999999999998</v>
      </c>
      <c r="I534" s="4">
        <v>0</v>
      </c>
    </row>
    <row r="535" spans="1:9" x14ac:dyDescent="0.2">
      <c r="A535" s="2">
        <v>15</v>
      </c>
      <c r="B535" s="1" t="s">
        <v>158</v>
      </c>
      <c r="C535" s="4">
        <v>39</v>
      </c>
      <c r="D535" s="8">
        <v>1.51</v>
      </c>
      <c r="E535" s="4">
        <v>4</v>
      </c>
      <c r="F535" s="8">
        <v>0.32</v>
      </c>
      <c r="G535" s="4">
        <v>35</v>
      </c>
      <c r="H535" s="8">
        <v>2.66</v>
      </c>
      <c r="I535" s="4">
        <v>0</v>
      </c>
    </row>
    <row r="536" spans="1:9" x14ac:dyDescent="0.2">
      <c r="A536" s="2">
        <v>16</v>
      </c>
      <c r="B536" s="1" t="s">
        <v>157</v>
      </c>
      <c r="C536" s="4">
        <v>38</v>
      </c>
      <c r="D536" s="8">
        <v>1.47</v>
      </c>
      <c r="E536" s="4">
        <v>5</v>
      </c>
      <c r="F536" s="8">
        <v>0.4</v>
      </c>
      <c r="G536" s="4">
        <v>33</v>
      </c>
      <c r="H536" s="8">
        <v>2.5099999999999998</v>
      </c>
      <c r="I536" s="4">
        <v>0</v>
      </c>
    </row>
    <row r="537" spans="1:9" x14ac:dyDescent="0.2">
      <c r="A537" s="2">
        <v>16</v>
      </c>
      <c r="B537" s="1" t="s">
        <v>178</v>
      </c>
      <c r="C537" s="4">
        <v>38</v>
      </c>
      <c r="D537" s="8">
        <v>1.47</v>
      </c>
      <c r="E537" s="4">
        <v>12</v>
      </c>
      <c r="F537" s="8">
        <v>0.96</v>
      </c>
      <c r="G537" s="4">
        <v>26</v>
      </c>
      <c r="H537" s="8">
        <v>1.98</v>
      </c>
      <c r="I537" s="4">
        <v>0</v>
      </c>
    </row>
    <row r="538" spans="1:9" x14ac:dyDescent="0.2">
      <c r="A538" s="2">
        <v>18</v>
      </c>
      <c r="B538" s="1" t="s">
        <v>176</v>
      </c>
      <c r="C538" s="4">
        <v>37</v>
      </c>
      <c r="D538" s="8">
        <v>1.43</v>
      </c>
      <c r="E538" s="4">
        <v>21</v>
      </c>
      <c r="F538" s="8">
        <v>1.68</v>
      </c>
      <c r="G538" s="4">
        <v>16</v>
      </c>
      <c r="H538" s="8">
        <v>1.22</v>
      </c>
      <c r="I538" s="4">
        <v>0</v>
      </c>
    </row>
    <row r="539" spans="1:9" x14ac:dyDescent="0.2">
      <c r="A539" s="2">
        <v>19</v>
      </c>
      <c r="B539" s="1" t="s">
        <v>171</v>
      </c>
      <c r="C539" s="4">
        <v>36</v>
      </c>
      <c r="D539" s="8">
        <v>1.39</v>
      </c>
      <c r="E539" s="4">
        <v>19</v>
      </c>
      <c r="F539" s="8">
        <v>1.52</v>
      </c>
      <c r="G539" s="4">
        <v>17</v>
      </c>
      <c r="H539" s="8">
        <v>1.29</v>
      </c>
      <c r="I539" s="4">
        <v>0</v>
      </c>
    </row>
    <row r="540" spans="1:9" x14ac:dyDescent="0.2">
      <c r="A540" s="2">
        <v>20</v>
      </c>
      <c r="B540" s="1" t="s">
        <v>164</v>
      </c>
      <c r="C540" s="4">
        <v>35</v>
      </c>
      <c r="D540" s="8">
        <v>1.35</v>
      </c>
      <c r="E540" s="4">
        <v>19</v>
      </c>
      <c r="F540" s="8">
        <v>1.52</v>
      </c>
      <c r="G540" s="4">
        <v>16</v>
      </c>
      <c r="H540" s="8">
        <v>1.22</v>
      </c>
      <c r="I540" s="4">
        <v>0</v>
      </c>
    </row>
    <row r="541" spans="1:9" x14ac:dyDescent="0.2">
      <c r="A541" s="1"/>
      <c r="C541" s="4"/>
      <c r="D541" s="8"/>
      <c r="E541" s="4"/>
      <c r="F541" s="8"/>
      <c r="G541" s="4"/>
      <c r="H541" s="8"/>
      <c r="I541" s="4"/>
    </row>
    <row r="542" spans="1:9" x14ac:dyDescent="0.2">
      <c r="A542" s="1" t="s">
        <v>24</v>
      </c>
      <c r="C542" s="4"/>
      <c r="D542" s="8"/>
      <c r="E542" s="4"/>
      <c r="F542" s="8"/>
      <c r="G542" s="4"/>
      <c r="H542" s="8"/>
      <c r="I542" s="4"/>
    </row>
    <row r="543" spans="1:9" x14ac:dyDescent="0.2">
      <c r="A543" s="2">
        <v>1</v>
      </c>
      <c r="B543" s="1" t="s">
        <v>173</v>
      </c>
      <c r="C543" s="4">
        <v>54</v>
      </c>
      <c r="D543" s="8">
        <v>4.5599999999999996</v>
      </c>
      <c r="E543" s="4">
        <v>51</v>
      </c>
      <c r="F543" s="8">
        <v>7.93</v>
      </c>
      <c r="G543" s="4">
        <v>3</v>
      </c>
      <c r="H543" s="8">
        <v>0.56000000000000005</v>
      </c>
      <c r="I543" s="4">
        <v>0</v>
      </c>
    </row>
    <row r="544" spans="1:9" x14ac:dyDescent="0.2">
      <c r="A544" s="2">
        <v>2</v>
      </c>
      <c r="B544" s="1" t="s">
        <v>202</v>
      </c>
      <c r="C544" s="4">
        <v>46</v>
      </c>
      <c r="D544" s="8">
        <v>3.89</v>
      </c>
      <c r="E544" s="4">
        <v>19</v>
      </c>
      <c r="F544" s="8">
        <v>2.95</v>
      </c>
      <c r="G544" s="4">
        <v>27</v>
      </c>
      <c r="H544" s="8">
        <v>5.08</v>
      </c>
      <c r="I544" s="4">
        <v>0</v>
      </c>
    </row>
    <row r="545" spans="1:9" x14ac:dyDescent="0.2">
      <c r="A545" s="2">
        <v>3</v>
      </c>
      <c r="B545" s="1" t="s">
        <v>172</v>
      </c>
      <c r="C545" s="4">
        <v>43</v>
      </c>
      <c r="D545" s="8">
        <v>3.63</v>
      </c>
      <c r="E545" s="4">
        <v>42</v>
      </c>
      <c r="F545" s="8">
        <v>6.53</v>
      </c>
      <c r="G545" s="4">
        <v>1</v>
      </c>
      <c r="H545" s="8">
        <v>0.19</v>
      </c>
      <c r="I545" s="4">
        <v>0</v>
      </c>
    </row>
    <row r="546" spans="1:9" x14ac:dyDescent="0.2">
      <c r="A546" s="2">
        <v>4</v>
      </c>
      <c r="B546" s="1" t="s">
        <v>159</v>
      </c>
      <c r="C546" s="4">
        <v>32</v>
      </c>
      <c r="D546" s="8">
        <v>2.7</v>
      </c>
      <c r="E546" s="4">
        <v>21</v>
      </c>
      <c r="F546" s="8">
        <v>3.27</v>
      </c>
      <c r="G546" s="4">
        <v>11</v>
      </c>
      <c r="H546" s="8">
        <v>2.0699999999999998</v>
      </c>
      <c r="I546" s="4">
        <v>0</v>
      </c>
    </row>
    <row r="547" spans="1:9" x14ac:dyDescent="0.2">
      <c r="A547" s="2">
        <v>5</v>
      </c>
      <c r="B547" s="1" t="s">
        <v>163</v>
      </c>
      <c r="C547" s="4">
        <v>30</v>
      </c>
      <c r="D547" s="8">
        <v>2.5299999999999998</v>
      </c>
      <c r="E547" s="4">
        <v>18</v>
      </c>
      <c r="F547" s="8">
        <v>2.8</v>
      </c>
      <c r="G547" s="4">
        <v>12</v>
      </c>
      <c r="H547" s="8">
        <v>2.2599999999999998</v>
      </c>
      <c r="I547" s="4">
        <v>0</v>
      </c>
    </row>
    <row r="548" spans="1:9" x14ac:dyDescent="0.2">
      <c r="A548" s="2">
        <v>5</v>
      </c>
      <c r="B548" s="1" t="s">
        <v>167</v>
      </c>
      <c r="C548" s="4">
        <v>30</v>
      </c>
      <c r="D548" s="8">
        <v>2.5299999999999998</v>
      </c>
      <c r="E548" s="4">
        <v>14</v>
      </c>
      <c r="F548" s="8">
        <v>2.1800000000000002</v>
      </c>
      <c r="G548" s="4">
        <v>16</v>
      </c>
      <c r="H548" s="8">
        <v>3.01</v>
      </c>
      <c r="I548" s="4">
        <v>0</v>
      </c>
    </row>
    <row r="549" spans="1:9" x14ac:dyDescent="0.2">
      <c r="A549" s="2">
        <v>5</v>
      </c>
      <c r="B549" s="1" t="s">
        <v>169</v>
      </c>
      <c r="C549" s="4">
        <v>30</v>
      </c>
      <c r="D549" s="8">
        <v>2.5299999999999998</v>
      </c>
      <c r="E549" s="4">
        <v>27</v>
      </c>
      <c r="F549" s="8">
        <v>4.2</v>
      </c>
      <c r="G549" s="4">
        <v>3</v>
      </c>
      <c r="H549" s="8">
        <v>0.56000000000000005</v>
      </c>
      <c r="I549" s="4">
        <v>0</v>
      </c>
    </row>
    <row r="550" spans="1:9" x14ac:dyDescent="0.2">
      <c r="A550" s="2">
        <v>8</v>
      </c>
      <c r="B550" s="1" t="s">
        <v>186</v>
      </c>
      <c r="C550" s="4">
        <v>22</v>
      </c>
      <c r="D550" s="8">
        <v>1.86</v>
      </c>
      <c r="E550" s="4">
        <v>4</v>
      </c>
      <c r="F550" s="8">
        <v>0.62</v>
      </c>
      <c r="G550" s="4">
        <v>18</v>
      </c>
      <c r="H550" s="8">
        <v>3.38</v>
      </c>
      <c r="I550" s="4">
        <v>0</v>
      </c>
    </row>
    <row r="551" spans="1:9" x14ac:dyDescent="0.2">
      <c r="A551" s="2">
        <v>8</v>
      </c>
      <c r="B551" s="1" t="s">
        <v>170</v>
      </c>
      <c r="C551" s="4">
        <v>22</v>
      </c>
      <c r="D551" s="8">
        <v>1.86</v>
      </c>
      <c r="E551" s="4">
        <v>20</v>
      </c>
      <c r="F551" s="8">
        <v>3.11</v>
      </c>
      <c r="G551" s="4">
        <v>2</v>
      </c>
      <c r="H551" s="8">
        <v>0.38</v>
      </c>
      <c r="I551" s="4">
        <v>0</v>
      </c>
    </row>
    <row r="552" spans="1:9" x14ac:dyDescent="0.2">
      <c r="A552" s="2">
        <v>8</v>
      </c>
      <c r="B552" s="1" t="s">
        <v>175</v>
      </c>
      <c r="C552" s="4">
        <v>22</v>
      </c>
      <c r="D552" s="8">
        <v>1.86</v>
      </c>
      <c r="E552" s="4">
        <v>21</v>
      </c>
      <c r="F552" s="8">
        <v>3.27</v>
      </c>
      <c r="G552" s="4">
        <v>1</v>
      </c>
      <c r="H552" s="8">
        <v>0.19</v>
      </c>
      <c r="I552" s="4">
        <v>0</v>
      </c>
    </row>
    <row r="553" spans="1:9" x14ac:dyDescent="0.2">
      <c r="A553" s="2">
        <v>11</v>
      </c>
      <c r="B553" s="1" t="s">
        <v>206</v>
      </c>
      <c r="C553" s="4">
        <v>20</v>
      </c>
      <c r="D553" s="8">
        <v>1.69</v>
      </c>
      <c r="E553" s="4">
        <v>17</v>
      </c>
      <c r="F553" s="8">
        <v>2.64</v>
      </c>
      <c r="G553" s="4">
        <v>3</v>
      </c>
      <c r="H553" s="8">
        <v>0.56000000000000005</v>
      </c>
      <c r="I553" s="4">
        <v>0</v>
      </c>
    </row>
    <row r="554" spans="1:9" x14ac:dyDescent="0.2">
      <c r="A554" s="2">
        <v>12</v>
      </c>
      <c r="B554" s="1" t="s">
        <v>166</v>
      </c>
      <c r="C554" s="4">
        <v>18</v>
      </c>
      <c r="D554" s="8">
        <v>1.52</v>
      </c>
      <c r="E554" s="4">
        <v>1</v>
      </c>
      <c r="F554" s="8">
        <v>0.16</v>
      </c>
      <c r="G554" s="4">
        <v>17</v>
      </c>
      <c r="H554" s="8">
        <v>3.2</v>
      </c>
      <c r="I554" s="4">
        <v>0</v>
      </c>
    </row>
    <row r="555" spans="1:9" x14ac:dyDescent="0.2">
      <c r="A555" s="2">
        <v>12</v>
      </c>
      <c r="B555" s="1" t="s">
        <v>174</v>
      </c>
      <c r="C555" s="4">
        <v>18</v>
      </c>
      <c r="D555" s="8">
        <v>1.52</v>
      </c>
      <c r="E555" s="4">
        <v>15</v>
      </c>
      <c r="F555" s="8">
        <v>2.33</v>
      </c>
      <c r="G555" s="4">
        <v>3</v>
      </c>
      <c r="H555" s="8">
        <v>0.56000000000000005</v>
      </c>
      <c r="I555" s="4">
        <v>0</v>
      </c>
    </row>
    <row r="556" spans="1:9" x14ac:dyDescent="0.2">
      <c r="A556" s="2">
        <v>14</v>
      </c>
      <c r="B556" s="1" t="s">
        <v>157</v>
      </c>
      <c r="C556" s="4">
        <v>17</v>
      </c>
      <c r="D556" s="8">
        <v>1.44</v>
      </c>
      <c r="E556" s="4">
        <v>5</v>
      </c>
      <c r="F556" s="8">
        <v>0.78</v>
      </c>
      <c r="G556" s="4">
        <v>12</v>
      </c>
      <c r="H556" s="8">
        <v>2.2599999999999998</v>
      </c>
      <c r="I556" s="4">
        <v>0</v>
      </c>
    </row>
    <row r="557" spans="1:9" x14ac:dyDescent="0.2">
      <c r="A557" s="2">
        <v>14</v>
      </c>
      <c r="B557" s="1" t="s">
        <v>203</v>
      </c>
      <c r="C557" s="4">
        <v>17</v>
      </c>
      <c r="D557" s="8">
        <v>1.44</v>
      </c>
      <c r="E557" s="4">
        <v>8</v>
      </c>
      <c r="F557" s="8">
        <v>1.24</v>
      </c>
      <c r="G557" s="4">
        <v>9</v>
      </c>
      <c r="H557" s="8">
        <v>1.69</v>
      </c>
      <c r="I557" s="4">
        <v>0</v>
      </c>
    </row>
    <row r="558" spans="1:9" x14ac:dyDescent="0.2">
      <c r="A558" s="2">
        <v>14</v>
      </c>
      <c r="B558" s="1" t="s">
        <v>164</v>
      </c>
      <c r="C558" s="4">
        <v>17</v>
      </c>
      <c r="D558" s="8">
        <v>1.44</v>
      </c>
      <c r="E558" s="4">
        <v>13</v>
      </c>
      <c r="F558" s="8">
        <v>2.02</v>
      </c>
      <c r="G558" s="4">
        <v>4</v>
      </c>
      <c r="H558" s="8">
        <v>0.75</v>
      </c>
      <c r="I558" s="4">
        <v>0</v>
      </c>
    </row>
    <row r="559" spans="1:9" x14ac:dyDescent="0.2">
      <c r="A559" s="2">
        <v>14</v>
      </c>
      <c r="B559" s="1" t="s">
        <v>171</v>
      </c>
      <c r="C559" s="4">
        <v>17</v>
      </c>
      <c r="D559" s="8">
        <v>1.44</v>
      </c>
      <c r="E559" s="4">
        <v>12</v>
      </c>
      <c r="F559" s="8">
        <v>1.87</v>
      </c>
      <c r="G559" s="4">
        <v>5</v>
      </c>
      <c r="H559" s="8">
        <v>0.94</v>
      </c>
      <c r="I559" s="4">
        <v>0</v>
      </c>
    </row>
    <row r="560" spans="1:9" x14ac:dyDescent="0.2">
      <c r="A560" s="2">
        <v>18</v>
      </c>
      <c r="B560" s="1" t="s">
        <v>160</v>
      </c>
      <c r="C560" s="4">
        <v>16</v>
      </c>
      <c r="D560" s="8">
        <v>1.35</v>
      </c>
      <c r="E560" s="4">
        <v>6</v>
      </c>
      <c r="F560" s="8">
        <v>0.93</v>
      </c>
      <c r="G560" s="4">
        <v>10</v>
      </c>
      <c r="H560" s="8">
        <v>1.88</v>
      </c>
      <c r="I560" s="4">
        <v>0</v>
      </c>
    </row>
    <row r="561" spans="1:9" x14ac:dyDescent="0.2">
      <c r="A561" s="2">
        <v>18</v>
      </c>
      <c r="B561" s="1" t="s">
        <v>185</v>
      </c>
      <c r="C561" s="4">
        <v>16</v>
      </c>
      <c r="D561" s="8">
        <v>1.35</v>
      </c>
      <c r="E561" s="4">
        <v>7</v>
      </c>
      <c r="F561" s="8">
        <v>1.0900000000000001</v>
      </c>
      <c r="G561" s="4">
        <v>9</v>
      </c>
      <c r="H561" s="8">
        <v>1.69</v>
      </c>
      <c r="I561" s="4">
        <v>0</v>
      </c>
    </row>
    <row r="562" spans="1:9" x14ac:dyDescent="0.2">
      <c r="A562" s="2">
        <v>18</v>
      </c>
      <c r="B562" s="1" t="s">
        <v>189</v>
      </c>
      <c r="C562" s="4">
        <v>16</v>
      </c>
      <c r="D562" s="8">
        <v>1.35</v>
      </c>
      <c r="E562" s="4">
        <v>15</v>
      </c>
      <c r="F562" s="8">
        <v>2.33</v>
      </c>
      <c r="G562" s="4">
        <v>1</v>
      </c>
      <c r="H562" s="8">
        <v>0.19</v>
      </c>
      <c r="I562" s="4">
        <v>0</v>
      </c>
    </row>
    <row r="563" spans="1:9" x14ac:dyDescent="0.2">
      <c r="A563" s="2">
        <v>18</v>
      </c>
      <c r="B563" s="1" t="s">
        <v>176</v>
      </c>
      <c r="C563" s="4">
        <v>16</v>
      </c>
      <c r="D563" s="8">
        <v>1.35</v>
      </c>
      <c r="E563" s="4">
        <v>12</v>
      </c>
      <c r="F563" s="8">
        <v>1.87</v>
      </c>
      <c r="G563" s="4">
        <v>4</v>
      </c>
      <c r="H563" s="8">
        <v>0.75</v>
      </c>
      <c r="I563" s="4">
        <v>0</v>
      </c>
    </row>
    <row r="564" spans="1:9" x14ac:dyDescent="0.2">
      <c r="A564" s="1"/>
      <c r="C564" s="4"/>
      <c r="D564" s="8"/>
      <c r="E564" s="4"/>
      <c r="F564" s="8"/>
      <c r="G564" s="4"/>
      <c r="H564" s="8"/>
      <c r="I564" s="4"/>
    </row>
    <row r="565" spans="1:9" x14ac:dyDescent="0.2">
      <c r="A565" s="1" t="s">
        <v>25</v>
      </c>
      <c r="C565" s="4"/>
      <c r="D565" s="8"/>
      <c r="E565" s="4"/>
      <c r="F565" s="8"/>
      <c r="G565" s="4"/>
      <c r="H565" s="8"/>
      <c r="I565" s="4"/>
    </row>
    <row r="566" spans="1:9" x14ac:dyDescent="0.2">
      <c r="A566" s="2">
        <v>1</v>
      </c>
      <c r="B566" s="1" t="s">
        <v>173</v>
      </c>
      <c r="C566" s="4">
        <v>123</v>
      </c>
      <c r="D566" s="8">
        <v>6.28</v>
      </c>
      <c r="E566" s="4">
        <v>108</v>
      </c>
      <c r="F566" s="8">
        <v>11.08</v>
      </c>
      <c r="G566" s="4">
        <v>15</v>
      </c>
      <c r="H566" s="8">
        <v>1.54</v>
      </c>
      <c r="I566" s="4">
        <v>0</v>
      </c>
    </row>
    <row r="567" spans="1:9" x14ac:dyDescent="0.2">
      <c r="A567" s="2">
        <v>2</v>
      </c>
      <c r="B567" s="1" t="s">
        <v>167</v>
      </c>
      <c r="C567" s="4">
        <v>79</v>
      </c>
      <c r="D567" s="8">
        <v>4.03</v>
      </c>
      <c r="E567" s="4">
        <v>54</v>
      </c>
      <c r="F567" s="8">
        <v>5.54</v>
      </c>
      <c r="G567" s="4">
        <v>24</v>
      </c>
      <c r="H567" s="8">
        <v>2.4700000000000002</v>
      </c>
      <c r="I567" s="4">
        <v>0</v>
      </c>
    </row>
    <row r="568" spans="1:9" x14ac:dyDescent="0.2">
      <c r="A568" s="2">
        <v>3</v>
      </c>
      <c r="B568" s="1" t="s">
        <v>172</v>
      </c>
      <c r="C568" s="4">
        <v>75</v>
      </c>
      <c r="D568" s="8">
        <v>3.83</v>
      </c>
      <c r="E568" s="4">
        <v>70</v>
      </c>
      <c r="F568" s="8">
        <v>7.18</v>
      </c>
      <c r="G568" s="4">
        <v>5</v>
      </c>
      <c r="H568" s="8">
        <v>0.51</v>
      </c>
      <c r="I568" s="4">
        <v>0</v>
      </c>
    </row>
    <row r="569" spans="1:9" x14ac:dyDescent="0.2">
      <c r="A569" s="2">
        <v>4</v>
      </c>
      <c r="B569" s="1" t="s">
        <v>175</v>
      </c>
      <c r="C569" s="4">
        <v>49</v>
      </c>
      <c r="D569" s="8">
        <v>2.5</v>
      </c>
      <c r="E569" s="4">
        <v>42</v>
      </c>
      <c r="F569" s="8">
        <v>4.3099999999999996</v>
      </c>
      <c r="G569" s="4">
        <v>7</v>
      </c>
      <c r="H569" s="8">
        <v>0.72</v>
      </c>
      <c r="I569" s="4">
        <v>0</v>
      </c>
    </row>
    <row r="570" spans="1:9" x14ac:dyDescent="0.2">
      <c r="A570" s="2">
        <v>5</v>
      </c>
      <c r="B570" s="1" t="s">
        <v>174</v>
      </c>
      <c r="C570" s="4">
        <v>43</v>
      </c>
      <c r="D570" s="8">
        <v>2.19</v>
      </c>
      <c r="E570" s="4">
        <v>33</v>
      </c>
      <c r="F570" s="8">
        <v>3.38</v>
      </c>
      <c r="G570" s="4">
        <v>10</v>
      </c>
      <c r="H570" s="8">
        <v>1.03</v>
      </c>
      <c r="I570" s="4">
        <v>0</v>
      </c>
    </row>
    <row r="571" spans="1:9" x14ac:dyDescent="0.2">
      <c r="A571" s="2">
        <v>6</v>
      </c>
      <c r="B571" s="1" t="s">
        <v>177</v>
      </c>
      <c r="C571" s="4">
        <v>39</v>
      </c>
      <c r="D571" s="8">
        <v>1.99</v>
      </c>
      <c r="E571" s="4">
        <v>6</v>
      </c>
      <c r="F571" s="8">
        <v>0.62</v>
      </c>
      <c r="G571" s="4">
        <v>33</v>
      </c>
      <c r="H571" s="8">
        <v>3.4</v>
      </c>
      <c r="I571" s="4">
        <v>0</v>
      </c>
    </row>
    <row r="572" spans="1:9" x14ac:dyDescent="0.2">
      <c r="A572" s="2">
        <v>6</v>
      </c>
      <c r="B572" s="1" t="s">
        <v>163</v>
      </c>
      <c r="C572" s="4">
        <v>39</v>
      </c>
      <c r="D572" s="8">
        <v>1.99</v>
      </c>
      <c r="E572" s="4">
        <v>21</v>
      </c>
      <c r="F572" s="8">
        <v>2.15</v>
      </c>
      <c r="G572" s="4">
        <v>18</v>
      </c>
      <c r="H572" s="8">
        <v>1.85</v>
      </c>
      <c r="I572" s="4">
        <v>0</v>
      </c>
    </row>
    <row r="573" spans="1:9" x14ac:dyDescent="0.2">
      <c r="A573" s="2">
        <v>6</v>
      </c>
      <c r="B573" s="1" t="s">
        <v>176</v>
      </c>
      <c r="C573" s="4">
        <v>39</v>
      </c>
      <c r="D573" s="8">
        <v>1.99</v>
      </c>
      <c r="E573" s="4">
        <v>21</v>
      </c>
      <c r="F573" s="8">
        <v>2.15</v>
      </c>
      <c r="G573" s="4">
        <v>18</v>
      </c>
      <c r="H573" s="8">
        <v>1.85</v>
      </c>
      <c r="I573" s="4">
        <v>0</v>
      </c>
    </row>
    <row r="574" spans="1:9" x14ac:dyDescent="0.2">
      <c r="A574" s="2">
        <v>9</v>
      </c>
      <c r="B574" s="1" t="s">
        <v>164</v>
      </c>
      <c r="C574" s="4">
        <v>36</v>
      </c>
      <c r="D574" s="8">
        <v>1.84</v>
      </c>
      <c r="E574" s="4">
        <v>17</v>
      </c>
      <c r="F574" s="8">
        <v>1.74</v>
      </c>
      <c r="G574" s="4">
        <v>19</v>
      </c>
      <c r="H574" s="8">
        <v>1.95</v>
      </c>
      <c r="I574" s="4">
        <v>0</v>
      </c>
    </row>
    <row r="575" spans="1:9" x14ac:dyDescent="0.2">
      <c r="A575" s="2">
        <v>9</v>
      </c>
      <c r="B575" s="1" t="s">
        <v>169</v>
      </c>
      <c r="C575" s="4">
        <v>36</v>
      </c>
      <c r="D575" s="8">
        <v>1.84</v>
      </c>
      <c r="E575" s="4">
        <v>32</v>
      </c>
      <c r="F575" s="8">
        <v>3.28</v>
      </c>
      <c r="G575" s="4">
        <v>4</v>
      </c>
      <c r="H575" s="8">
        <v>0.41</v>
      </c>
      <c r="I575" s="4">
        <v>0</v>
      </c>
    </row>
    <row r="576" spans="1:9" x14ac:dyDescent="0.2">
      <c r="A576" s="2">
        <v>11</v>
      </c>
      <c r="B576" s="1" t="s">
        <v>185</v>
      </c>
      <c r="C576" s="4">
        <v>35</v>
      </c>
      <c r="D576" s="8">
        <v>1.79</v>
      </c>
      <c r="E576" s="4">
        <v>16</v>
      </c>
      <c r="F576" s="8">
        <v>1.64</v>
      </c>
      <c r="G576" s="4">
        <v>19</v>
      </c>
      <c r="H576" s="8">
        <v>1.95</v>
      </c>
      <c r="I576" s="4">
        <v>0</v>
      </c>
    </row>
    <row r="577" spans="1:9" x14ac:dyDescent="0.2">
      <c r="A577" s="2">
        <v>12</v>
      </c>
      <c r="B577" s="1" t="s">
        <v>170</v>
      </c>
      <c r="C577" s="4">
        <v>34</v>
      </c>
      <c r="D577" s="8">
        <v>1.74</v>
      </c>
      <c r="E577" s="4">
        <v>31</v>
      </c>
      <c r="F577" s="8">
        <v>3.18</v>
      </c>
      <c r="G577" s="4">
        <v>3</v>
      </c>
      <c r="H577" s="8">
        <v>0.31</v>
      </c>
      <c r="I577" s="4">
        <v>0</v>
      </c>
    </row>
    <row r="578" spans="1:9" x14ac:dyDescent="0.2">
      <c r="A578" s="2">
        <v>13</v>
      </c>
      <c r="B578" s="1" t="s">
        <v>189</v>
      </c>
      <c r="C578" s="4">
        <v>32</v>
      </c>
      <c r="D578" s="8">
        <v>1.63</v>
      </c>
      <c r="E578" s="4">
        <v>30</v>
      </c>
      <c r="F578" s="8">
        <v>3.08</v>
      </c>
      <c r="G578" s="4">
        <v>2</v>
      </c>
      <c r="H578" s="8">
        <v>0.21</v>
      </c>
      <c r="I578" s="4">
        <v>0</v>
      </c>
    </row>
    <row r="579" spans="1:9" x14ac:dyDescent="0.2">
      <c r="A579" s="2">
        <v>14</v>
      </c>
      <c r="B579" s="1" t="s">
        <v>159</v>
      </c>
      <c r="C579" s="4">
        <v>31</v>
      </c>
      <c r="D579" s="8">
        <v>1.58</v>
      </c>
      <c r="E579" s="4">
        <v>14</v>
      </c>
      <c r="F579" s="8">
        <v>1.44</v>
      </c>
      <c r="G579" s="4">
        <v>17</v>
      </c>
      <c r="H579" s="8">
        <v>1.75</v>
      </c>
      <c r="I579" s="4">
        <v>0</v>
      </c>
    </row>
    <row r="580" spans="1:9" x14ac:dyDescent="0.2">
      <c r="A580" s="2">
        <v>15</v>
      </c>
      <c r="B580" s="1" t="s">
        <v>158</v>
      </c>
      <c r="C580" s="4">
        <v>30</v>
      </c>
      <c r="D580" s="8">
        <v>1.53</v>
      </c>
      <c r="E580" s="4">
        <v>8</v>
      </c>
      <c r="F580" s="8">
        <v>0.82</v>
      </c>
      <c r="G580" s="4">
        <v>22</v>
      </c>
      <c r="H580" s="8">
        <v>2.2599999999999998</v>
      </c>
      <c r="I580" s="4">
        <v>0</v>
      </c>
    </row>
    <row r="581" spans="1:9" x14ac:dyDescent="0.2">
      <c r="A581" s="2">
        <v>15</v>
      </c>
      <c r="B581" s="1" t="s">
        <v>171</v>
      </c>
      <c r="C581" s="4">
        <v>30</v>
      </c>
      <c r="D581" s="8">
        <v>1.53</v>
      </c>
      <c r="E581" s="4">
        <v>17</v>
      </c>
      <c r="F581" s="8">
        <v>1.74</v>
      </c>
      <c r="G581" s="4">
        <v>13</v>
      </c>
      <c r="H581" s="8">
        <v>1.34</v>
      </c>
      <c r="I581" s="4">
        <v>0</v>
      </c>
    </row>
    <row r="582" spans="1:9" x14ac:dyDescent="0.2">
      <c r="A582" s="2">
        <v>15</v>
      </c>
      <c r="B582" s="1" t="s">
        <v>179</v>
      </c>
      <c r="C582" s="4">
        <v>30</v>
      </c>
      <c r="D582" s="8">
        <v>1.53</v>
      </c>
      <c r="E582" s="4">
        <v>26</v>
      </c>
      <c r="F582" s="8">
        <v>2.67</v>
      </c>
      <c r="G582" s="4">
        <v>4</v>
      </c>
      <c r="H582" s="8">
        <v>0.41</v>
      </c>
      <c r="I582" s="4">
        <v>0</v>
      </c>
    </row>
    <row r="583" spans="1:9" x14ac:dyDescent="0.2">
      <c r="A583" s="2">
        <v>18</v>
      </c>
      <c r="B583" s="1" t="s">
        <v>166</v>
      </c>
      <c r="C583" s="4">
        <v>29</v>
      </c>
      <c r="D583" s="8">
        <v>1.48</v>
      </c>
      <c r="E583" s="4">
        <v>5</v>
      </c>
      <c r="F583" s="8">
        <v>0.51</v>
      </c>
      <c r="G583" s="4">
        <v>24</v>
      </c>
      <c r="H583" s="8">
        <v>2.4700000000000002</v>
      </c>
      <c r="I583" s="4">
        <v>0</v>
      </c>
    </row>
    <row r="584" spans="1:9" x14ac:dyDescent="0.2">
      <c r="A584" s="2">
        <v>19</v>
      </c>
      <c r="B584" s="1" t="s">
        <v>160</v>
      </c>
      <c r="C584" s="4">
        <v>28</v>
      </c>
      <c r="D584" s="8">
        <v>1.43</v>
      </c>
      <c r="E584" s="4">
        <v>7</v>
      </c>
      <c r="F584" s="8">
        <v>0.72</v>
      </c>
      <c r="G584" s="4">
        <v>21</v>
      </c>
      <c r="H584" s="8">
        <v>2.16</v>
      </c>
      <c r="I584" s="4">
        <v>0</v>
      </c>
    </row>
    <row r="585" spans="1:9" x14ac:dyDescent="0.2">
      <c r="A585" s="2">
        <v>19</v>
      </c>
      <c r="B585" s="1" t="s">
        <v>162</v>
      </c>
      <c r="C585" s="4">
        <v>28</v>
      </c>
      <c r="D585" s="8">
        <v>1.43</v>
      </c>
      <c r="E585" s="4">
        <v>20</v>
      </c>
      <c r="F585" s="8">
        <v>2.0499999999999998</v>
      </c>
      <c r="G585" s="4">
        <v>8</v>
      </c>
      <c r="H585" s="8">
        <v>0.82</v>
      </c>
      <c r="I585" s="4">
        <v>0</v>
      </c>
    </row>
    <row r="586" spans="1:9" x14ac:dyDescent="0.2">
      <c r="A586" s="1"/>
      <c r="C586" s="4"/>
      <c r="D586" s="8"/>
      <c r="E586" s="4"/>
      <c r="F586" s="8"/>
      <c r="G586" s="4"/>
      <c r="H586" s="8"/>
      <c r="I586" s="4"/>
    </row>
    <row r="587" spans="1:9" x14ac:dyDescent="0.2">
      <c r="A587" s="1" t="s">
        <v>26</v>
      </c>
      <c r="C587" s="4"/>
      <c r="D587" s="8"/>
      <c r="E587" s="4"/>
      <c r="F587" s="8"/>
      <c r="G587" s="4"/>
      <c r="H587" s="8"/>
      <c r="I587" s="4"/>
    </row>
    <row r="588" spans="1:9" x14ac:dyDescent="0.2">
      <c r="A588" s="2">
        <v>1</v>
      </c>
      <c r="B588" s="1" t="s">
        <v>173</v>
      </c>
      <c r="C588" s="4">
        <v>182</v>
      </c>
      <c r="D588" s="8">
        <v>6.24</v>
      </c>
      <c r="E588" s="4">
        <v>161</v>
      </c>
      <c r="F588" s="8">
        <v>10.11</v>
      </c>
      <c r="G588" s="4">
        <v>21</v>
      </c>
      <c r="H588" s="8">
        <v>1.61</v>
      </c>
      <c r="I588" s="4">
        <v>0</v>
      </c>
    </row>
    <row r="589" spans="1:9" x14ac:dyDescent="0.2">
      <c r="A589" s="2">
        <v>2</v>
      </c>
      <c r="B589" s="1" t="s">
        <v>172</v>
      </c>
      <c r="C589" s="4">
        <v>102</v>
      </c>
      <c r="D589" s="8">
        <v>3.5</v>
      </c>
      <c r="E589" s="4">
        <v>98</v>
      </c>
      <c r="F589" s="8">
        <v>6.15</v>
      </c>
      <c r="G589" s="4">
        <v>4</v>
      </c>
      <c r="H589" s="8">
        <v>0.31</v>
      </c>
      <c r="I589" s="4">
        <v>0</v>
      </c>
    </row>
    <row r="590" spans="1:9" x14ac:dyDescent="0.2">
      <c r="A590" s="2">
        <v>3</v>
      </c>
      <c r="B590" s="1" t="s">
        <v>167</v>
      </c>
      <c r="C590" s="4">
        <v>93</v>
      </c>
      <c r="D590" s="8">
        <v>3.19</v>
      </c>
      <c r="E590" s="4">
        <v>46</v>
      </c>
      <c r="F590" s="8">
        <v>2.89</v>
      </c>
      <c r="G590" s="4">
        <v>47</v>
      </c>
      <c r="H590" s="8">
        <v>3.6</v>
      </c>
      <c r="I590" s="4">
        <v>0</v>
      </c>
    </row>
    <row r="591" spans="1:9" x14ac:dyDescent="0.2">
      <c r="A591" s="2">
        <v>4</v>
      </c>
      <c r="B591" s="1" t="s">
        <v>169</v>
      </c>
      <c r="C591" s="4">
        <v>83</v>
      </c>
      <c r="D591" s="8">
        <v>2.85</v>
      </c>
      <c r="E591" s="4">
        <v>72</v>
      </c>
      <c r="F591" s="8">
        <v>4.5199999999999996</v>
      </c>
      <c r="G591" s="4">
        <v>11</v>
      </c>
      <c r="H591" s="8">
        <v>0.84</v>
      </c>
      <c r="I591" s="4">
        <v>0</v>
      </c>
    </row>
    <row r="592" spans="1:9" x14ac:dyDescent="0.2">
      <c r="A592" s="2">
        <v>5</v>
      </c>
      <c r="B592" s="1" t="s">
        <v>170</v>
      </c>
      <c r="C592" s="4">
        <v>82</v>
      </c>
      <c r="D592" s="8">
        <v>2.81</v>
      </c>
      <c r="E592" s="4">
        <v>78</v>
      </c>
      <c r="F592" s="8">
        <v>4.9000000000000004</v>
      </c>
      <c r="G592" s="4">
        <v>4</v>
      </c>
      <c r="H592" s="8">
        <v>0.31</v>
      </c>
      <c r="I592" s="4">
        <v>0</v>
      </c>
    </row>
    <row r="593" spans="1:9" x14ac:dyDescent="0.2">
      <c r="A593" s="2">
        <v>6</v>
      </c>
      <c r="B593" s="1" t="s">
        <v>176</v>
      </c>
      <c r="C593" s="4">
        <v>81</v>
      </c>
      <c r="D593" s="8">
        <v>2.78</v>
      </c>
      <c r="E593" s="4">
        <v>61</v>
      </c>
      <c r="F593" s="8">
        <v>3.83</v>
      </c>
      <c r="G593" s="4">
        <v>20</v>
      </c>
      <c r="H593" s="8">
        <v>1.53</v>
      </c>
      <c r="I593" s="4">
        <v>0</v>
      </c>
    </row>
    <row r="594" spans="1:9" x14ac:dyDescent="0.2">
      <c r="A594" s="2">
        <v>7</v>
      </c>
      <c r="B594" s="1" t="s">
        <v>157</v>
      </c>
      <c r="C594" s="4">
        <v>80</v>
      </c>
      <c r="D594" s="8">
        <v>2.74</v>
      </c>
      <c r="E594" s="4">
        <v>14</v>
      </c>
      <c r="F594" s="8">
        <v>0.88</v>
      </c>
      <c r="G594" s="4">
        <v>66</v>
      </c>
      <c r="H594" s="8">
        <v>5.05</v>
      </c>
      <c r="I594" s="4">
        <v>0</v>
      </c>
    </row>
    <row r="595" spans="1:9" x14ac:dyDescent="0.2">
      <c r="A595" s="2">
        <v>8</v>
      </c>
      <c r="B595" s="1" t="s">
        <v>175</v>
      </c>
      <c r="C595" s="4">
        <v>74</v>
      </c>
      <c r="D595" s="8">
        <v>2.54</v>
      </c>
      <c r="E595" s="4">
        <v>70</v>
      </c>
      <c r="F595" s="8">
        <v>4.3899999999999997</v>
      </c>
      <c r="G595" s="4">
        <v>4</v>
      </c>
      <c r="H595" s="8">
        <v>0.31</v>
      </c>
      <c r="I595" s="4">
        <v>0</v>
      </c>
    </row>
    <row r="596" spans="1:9" x14ac:dyDescent="0.2">
      <c r="A596" s="2">
        <v>9</v>
      </c>
      <c r="B596" s="1" t="s">
        <v>202</v>
      </c>
      <c r="C596" s="4">
        <v>66</v>
      </c>
      <c r="D596" s="8">
        <v>2.2599999999999998</v>
      </c>
      <c r="E596" s="4">
        <v>52</v>
      </c>
      <c r="F596" s="8">
        <v>3.26</v>
      </c>
      <c r="G596" s="4">
        <v>14</v>
      </c>
      <c r="H596" s="8">
        <v>1.07</v>
      </c>
      <c r="I596" s="4">
        <v>0</v>
      </c>
    </row>
    <row r="597" spans="1:9" x14ac:dyDescent="0.2">
      <c r="A597" s="2">
        <v>10</v>
      </c>
      <c r="B597" s="1" t="s">
        <v>159</v>
      </c>
      <c r="C597" s="4">
        <v>64</v>
      </c>
      <c r="D597" s="8">
        <v>2.2000000000000002</v>
      </c>
      <c r="E597" s="4">
        <v>43</v>
      </c>
      <c r="F597" s="8">
        <v>2.7</v>
      </c>
      <c r="G597" s="4">
        <v>21</v>
      </c>
      <c r="H597" s="8">
        <v>1.61</v>
      </c>
      <c r="I597" s="4">
        <v>0</v>
      </c>
    </row>
    <row r="598" spans="1:9" x14ac:dyDescent="0.2">
      <c r="A598" s="2">
        <v>11</v>
      </c>
      <c r="B598" s="1" t="s">
        <v>161</v>
      </c>
      <c r="C598" s="4">
        <v>58</v>
      </c>
      <c r="D598" s="8">
        <v>1.99</v>
      </c>
      <c r="E598" s="4">
        <v>26</v>
      </c>
      <c r="F598" s="8">
        <v>1.63</v>
      </c>
      <c r="G598" s="4">
        <v>32</v>
      </c>
      <c r="H598" s="8">
        <v>2.4500000000000002</v>
      </c>
      <c r="I598" s="4">
        <v>0</v>
      </c>
    </row>
    <row r="599" spans="1:9" x14ac:dyDescent="0.2">
      <c r="A599" s="2">
        <v>12</v>
      </c>
      <c r="B599" s="1" t="s">
        <v>163</v>
      </c>
      <c r="C599" s="4">
        <v>56</v>
      </c>
      <c r="D599" s="8">
        <v>1.92</v>
      </c>
      <c r="E599" s="4">
        <v>25</v>
      </c>
      <c r="F599" s="8">
        <v>1.57</v>
      </c>
      <c r="G599" s="4">
        <v>31</v>
      </c>
      <c r="H599" s="8">
        <v>2.37</v>
      </c>
      <c r="I599" s="4">
        <v>0</v>
      </c>
    </row>
    <row r="600" spans="1:9" x14ac:dyDescent="0.2">
      <c r="A600" s="2">
        <v>12</v>
      </c>
      <c r="B600" s="1" t="s">
        <v>174</v>
      </c>
      <c r="C600" s="4">
        <v>56</v>
      </c>
      <c r="D600" s="8">
        <v>1.92</v>
      </c>
      <c r="E600" s="4">
        <v>44</v>
      </c>
      <c r="F600" s="8">
        <v>2.76</v>
      </c>
      <c r="G600" s="4">
        <v>12</v>
      </c>
      <c r="H600" s="8">
        <v>0.92</v>
      </c>
      <c r="I600" s="4">
        <v>0</v>
      </c>
    </row>
    <row r="601" spans="1:9" x14ac:dyDescent="0.2">
      <c r="A601" s="2">
        <v>14</v>
      </c>
      <c r="B601" s="1" t="s">
        <v>162</v>
      </c>
      <c r="C601" s="4">
        <v>53</v>
      </c>
      <c r="D601" s="8">
        <v>1.82</v>
      </c>
      <c r="E601" s="4">
        <v>37</v>
      </c>
      <c r="F601" s="8">
        <v>2.3199999999999998</v>
      </c>
      <c r="G601" s="4">
        <v>16</v>
      </c>
      <c r="H601" s="8">
        <v>1.23</v>
      </c>
      <c r="I601" s="4">
        <v>0</v>
      </c>
    </row>
    <row r="602" spans="1:9" x14ac:dyDescent="0.2">
      <c r="A602" s="2">
        <v>14</v>
      </c>
      <c r="B602" s="1" t="s">
        <v>164</v>
      </c>
      <c r="C602" s="4">
        <v>53</v>
      </c>
      <c r="D602" s="8">
        <v>1.82</v>
      </c>
      <c r="E602" s="4">
        <v>33</v>
      </c>
      <c r="F602" s="8">
        <v>2.0699999999999998</v>
      </c>
      <c r="G602" s="4">
        <v>20</v>
      </c>
      <c r="H602" s="8">
        <v>1.53</v>
      </c>
      <c r="I602" s="4">
        <v>0</v>
      </c>
    </row>
    <row r="603" spans="1:9" x14ac:dyDescent="0.2">
      <c r="A603" s="2">
        <v>16</v>
      </c>
      <c r="B603" s="1" t="s">
        <v>160</v>
      </c>
      <c r="C603" s="4">
        <v>52</v>
      </c>
      <c r="D603" s="8">
        <v>1.78</v>
      </c>
      <c r="E603" s="4">
        <v>22</v>
      </c>
      <c r="F603" s="8">
        <v>1.38</v>
      </c>
      <c r="G603" s="4">
        <v>30</v>
      </c>
      <c r="H603" s="8">
        <v>2.2999999999999998</v>
      </c>
      <c r="I603" s="4">
        <v>0</v>
      </c>
    </row>
    <row r="604" spans="1:9" x14ac:dyDescent="0.2">
      <c r="A604" s="2">
        <v>17</v>
      </c>
      <c r="B604" s="1" t="s">
        <v>158</v>
      </c>
      <c r="C604" s="4">
        <v>49</v>
      </c>
      <c r="D604" s="8">
        <v>1.68</v>
      </c>
      <c r="E604" s="4">
        <v>13</v>
      </c>
      <c r="F604" s="8">
        <v>0.82</v>
      </c>
      <c r="G604" s="4">
        <v>36</v>
      </c>
      <c r="H604" s="8">
        <v>2.76</v>
      </c>
      <c r="I604" s="4">
        <v>0</v>
      </c>
    </row>
    <row r="605" spans="1:9" x14ac:dyDescent="0.2">
      <c r="A605" s="2">
        <v>18</v>
      </c>
      <c r="B605" s="1" t="s">
        <v>185</v>
      </c>
      <c r="C605" s="4">
        <v>44</v>
      </c>
      <c r="D605" s="8">
        <v>1.51</v>
      </c>
      <c r="E605" s="4">
        <v>16</v>
      </c>
      <c r="F605" s="8">
        <v>1</v>
      </c>
      <c r="G605" s="4">
        <v>28</v>
      </c>
      <c r="H605" s="8">
        <v>2.14</v>
      </c>
      <c r="I605" s="4">
        <v>0</v>
      </c>
    </row>
    <row r="606" spans="1:9" x14ac:dyDescent="0.2">
      <c r="A606" s="2">
        <v>19</v>
      </c>
      <c r="B606" s="1" t="s">
        <v>207</v>
      </c>
      <c r="C606" s="4">
        <v>40</v>
      </c>
      <c r="D606" s="8">
        <v>1.37</v>
      </c>
      <c r="E606" s="4">
        <v>21</v>
      </c>
      <c r="F606" s="8">
        <v>1.32</v>
      </c>
      <c r="G606" s="4">
        <v>19</v>
      </c>
      <c r="H606" s="8">
        <v>1.45</v>
      </c>
      <c r="I606" s="4">
        <v>0</v>
      </c>
    </row>
    <row r="607" spans="1:9" x14ac:dyDescent="0.2">
      <c r="A607" s="2">
        <v>20</v>
      </c>
      <c r="B607" s="1" t="s">
        <v>179</v>
      </c>
      <c r="C607" s="4">
        <v>36</v>
      </c>
      <c r="D607" s="8">
        <v>1.23</v>
      </c>
      <c r="E607" s="4">
        <v>26</v>
      </c>
      <c r="F607" s="8">
        <v>1.63</v>
      </c>
      <c r="G607" s="4">
        <v>10</v>
      </c>
      <c r="H607" s="8">
        <v>0.77</v>
      </c>
      <c r="I607" s="4">
        <v>0</v>
      </c>
    </row>
    <row r="608" spans="1:9" x14ac:dyDescent="0.2">
      <c r="A608" s="1"/>
      <c r="C608" s="4"/>
      <c r="D608" s="8"/>
      <c r="E608" s="4"/>
      <c r="F608" s="8"/>
      <c r="G608" s="4"/>
      <c r="H608" s="8"/>
      <c r="I608" s="4"/>
    </row>
    <row r="609" spans="1:9" x14ac:dyDescent="0.2">
      <c r="A609" s="1" t="s">
        <v>27</v>
      </c>
      <c r="C609" s="4"/>
      <c r="D609" s="8"/>
      <c r="E609" s="4"/>
      <c r="F609" s="8"/>
      <c r="G609" s="4"/>
      <c r="H609" s="8"/>
      <c r="I609" s="4"/>
    </row>
    <row r="610" spans="1:9" x14ac:dyDescent="0.2">
      <c r="A610" s="2">
        <v>1</v>
      </c>
      <c r="B610" s="1" t="s">
        <v>173</v>
      </c>
      <c r="C610" s="4">
        <v>202</v>
      </c>
      <c r="D610" s="8">
        <v>5.69</v>
      </c>
      <c r="E610" s="4">
        <v>162</v>
      </c>
      <c r="F610" s="8">
        <v>10.38</v>
      </c>
      <c r="G610" s="4">
        <v>40</v>
      </c>
      <c r="H610" s="8">
        <v>2.02</v>
      </c>
      <c r="I610" s="4">
        <v>0</v>
      </c>
    </row>
    <row r="611" spans="1:9" x14ac:dyDescent="0.2">
      <c r="A611" s="2">
        <v>2</v>
      </c>
      <c r="B611" s="1" t="s">
        <v>167</v>
      </c>
      <c r="C611" s="4">
        <v>173</v>
      </c>
      <c r="D611" s="8">
        <v>4.87</v>
      </c>
      <c r="E611" s="4">
        <v>77</v>
      </c>
      <c r="F611" s="8">
        <v>4.9400000000000004</v>
      </c>
      <c r="G611" s="4">
        <v>96</v>
      </c>
      <c r="H611" s="8">
        <v>4.84</v>
      </c>
      <c r="I611" s="4">
        <v>0</v>
      </c>
    </row>
    <row r="612" spans="1:9" x14ac:dyDescent="0.2">
      <c r="A612" s="2">
        <v>3</v>
      </c>
      <c r="B612" s="1" t="s">
        <v>174</v>
      </c>
      <c r="C612" s="4">
        <v>147</v>
      </c>
      <c r="D612" s="8">
        <v>4.1399999999999997</v>
      </c>
      <c r="E612" s="4">
        <v>127</v>
      </c>
      <c r="F612" s="8">
        <v>8.14</v>
      </c>
      <c r="G612" s="4">
        <v>20</v>
      </c>
      <c r="H612" s="8">
        <v>1.01</v>
      </c>
      <c r="I612" s="4">
        <v>0</v>
      </c>
    </row>
    <row r="613" spans="1:9" x14ac:dyDescent="0.2">
      <c r="A613" s="2">
        <v>4</v>
      </c>
      <c r="B613" s="1" t="s">
        <v>175</v>
      </c>
      <c r="C613" s="4">
        <v>122</v>
      </c>
      <c r="D613" s="8">
        <v>3.43</v>
      </c>
      <c r="E613" s="4">
        <v>110</v>
      </c>
      <c r="F613" s="8">
        <v>7.05</v>
      </c>
      <c r="G613" s="4">
        <v>12</v>
      </c>
      <c r="H613" s="8">
        <v>0.6</v>
      </c>
      <c r="I613" s="4">
        <v>0</v>
      </c>
    </row>
    <row r="614" spans="1:9" x14ac:dyDescent="0.2">
      <c r="A614" s="2">
        <v>5</v>
      </c>
      <c r="B614" s="1" t="s">
        <v>172</v>
      </c>
      <c r="C614" s="4">
        <v>120</v>
      </c>
      <c r="D614" s="8">
        <v>3.38</v>
      </c>
      <c r="E614" s="4">
        <v>108</v>
      </c>
      <c r="F614" s="8">
        <v>6.92</v>
      </c>
      <c r="G614" s="4">
        <v>12</v>
      </c>
      <c r="H614" s="8">
        <v>0.6</v>
      </c>
      <c r="I614" s="4">
        <v>0</v>
      </c>
    </row>
    <row r="615" spans="1:9" x14ac:dyDescent="0.2">
      <c r="A615" s="2">
        <v>6</v>
      </c>
      <c r="B615" s="1" t="s">
        <v>170</v>
      </c>
      <c r="C615" s="4">
        <v>112</v>
      </c>
      <c r="D615" s="8">
        <v>3.15</v>
      </c>
      <c r="E615" s="4">
        <v>103</v>
      </c>
      <c r="F615" s="8">
        <v>6.6</v>
      </c>
      <c r="G615" s="4">
        <v>9</v>
      </c>
      <c r="H615" s="8">
        <v>0.45</v>
      </c>
      <c r="I615" s="4">
        <v>0</v>
      </c>
    </row>
    <row r="616" spans="1:9" x14ac:dyDescent="0.2">
      <c r="A616" s="2">
        <v>7</v>
      </c>
      <c r="B616" s="1" t="s">
        <v>166</v>
      </c>
      <c r="C616" s="4">
        <v>97</v>
      </c>
      <c r="D616" s="8">
        <v>2.73</v>
      </c>
      <c r="E616" s="4">
        <v>10</v>
      </c>
      <c r="F616" s="8">
        <v>0.64</v>
      </c>
      <c r="G616" s="4">
        <v>87</v>
      </c>
      <c r="H616" s="8">
        <v>4.3899999999999997</v>
      </c>
      <c r="I616" s="4">
        <v>0</v>
      </c>
    </row>
    <row r="617" spans="1:9" x14ac:dyDescent="0.2">
      <c r="A617" s="2">
        <v>8</v>
      </c>
      <c r="B617" s="1" t="s">
        <v>169</v>
      </c>
      <c r="C617" s="4">
        <v>91</v>
      </c>
      <c r="D617" s="8">
        <v>2.56</v>
      </c>
      <c r="E617" s="4">
        <v>72</v>
      </c>
      <c r="F617" s="8">
        <v>4.62</v>
      </c>
      <c r="G617" s="4">
        <v>19</v>
      </c>
      <c r="H617" s="8">
        <v>0.96</v>
      </c>
      <c r="I617" s="4">
        <v>0</v>
      </c>
    </row>
    <row r="618" spans="1:9" x14ac:dyDescent="0.2">
      <c r="A618" s="2">
        <v>9</v>
      </c>
      <c r="B618" s="1" t="s">
        <v>161</v>
      </c>
      <c r="C618" s="4">
        <v>80</v>
      </c>
      <c r="D618" s="8">
        <v>2.25</v>
      </c>
      <c r="E618" s="4">
        <v>7</v>
      </c>
      <c r="F618" s="8">
        <v>0.45</v>
      </c>
      <c r="G618" s="4">
        <v>73</v>
      </c>
      <c r="H618" s="8">
        <v>3.68</v>
      </c>
      <c r="I618" s="4">
        <v>0</v>
      </c>
    </row>
    <row r="619" spans="1:9" x14ac:dyDescent="0.2">
      <c r="A619" s="2">
        <v>10</v>
      </c>
      <c r="B619" s="1" t="s">
        <v>168</v>
      </c>
      <c r="C619" s="4">
        <v>61</v>
      </c>
      <c r="D619" s="8">
        <v>1.72</v>
      </c>
      <c r="E619" s="4">
        <v>7</v>
      </c>
      <c r="F619" s="8">
        <v>0.45</v>
      </c>
      <c r="G619" s="4">
        <v>54</v>
      </c>
      <c r="H619" s="8">
        <v>2.72</v>
      </c>
      <c r="I619" s="4">
        <v>0</v>
      </c>
    </row>
    <row r="620" spans="1:9" x14ac:dyDescent="0.2">
      <c r="A620" s="2">
        <v>11</v>
      </c>
      <c r="B620" s="1" t="s">
        <v>179</v>
      </c>
      <c r="C620" s="4">
        <v>56</v>
      </c>
      <c r="D620" s="8">
        <v>1.58</v>
      </c>
      <c r="E620" s="4">
        <v>39</v>
      </c>
      <c r="F620" s="8">
        <v>2.5</v>
      </c>
      <c r="G620" s="4">
        <v>17</v>
      </c>
      <c r="H620" s="8">
        <v>0.86</v>
      </c>
      <c r="I620" s="4">
        <v>0</v>
      </c>
    </row>
    <row r="621" spans="1:9" x14ac:dyDescent="0.2">
      <c r="A621" s="2">
        <v>12</v>
      </c>
      <c r="B621" s="1" t="s">
        <v>160</v>
      </c>
      <c r="C621" s="4">
        <v>55</v>
      </c>
      <c r="D621" s="8">
        <v>1.55</v>
      </c>
      <c r="E621" s="4">
        <v>10</v>
      </c>
      <c r="F621" s="8">
        <v>0.64</v>
      </c>
      <c r="G621" s="4">
        <v>45</v>
      </c>
      <c r="H621" s="8">
        <v>2.27</v>
      </c>
      <c r="I621" s="4">
        <v>0</v>
      </c>
    </row>
    <row r="622" spans="1:9" x14ac:dyDescent="0.2">
      <c r="A622" s="2">
        <v>13</v>
      </c>
      <c r="B622" s="1" t="s">
        <v>165</v>
      </c>
      <c r="C622" s="4">
        <v>52</v>
      </c>
      <c r="D622" s="8">
        <v>1.46</v>
      </c>
      <c r="E622" s="4">
        <v>4</v>
      </c>
      <c r="F622" s="8">
        <v>0.26</v>
      </c>
      <c r="G622" s="4">
        <v>48</v>
      </c>
      <c r="H622" s="8">
        <v>2.42</v>
      </c>
      <c r="I622" s="4">
        <v>0</v>
      </c>
    </row>
    <row r="623" spans="1:9" x14ac:dyDescent="0.2">
      <c r="A623" s="2">
        <v>14</v>
      </c>
      <c r="B623" s="1" t="s">
        <v>164</v>
      </c>
      <c r="C623" s="4">
        <v>49</v>
      </c>
      <c r="D623" s="8">
        <v>1.38</v>
      </c>
      <c r="E623" s="4">
        <v>26</v>
      </c>
      <c r="F623" s="8">
        <v>1.67</v>
      </c>
      <c r="G623" s="4">
        <v>23</v>
      </c>
      <c r="H623" s="8">
        <v>1.1599999999999999</v>
      </c>
      <c r="I623" s="4">
        <v>0</v>
      </c>
    </row>
    <row r="624" spans="1:9" x14ac:dyDescent="0.2">
      <c r="A624" s="2">
        <v>14</v>
      </c>
      <c r="B624" s="1" t="s">
        <v>176</v>
      </c>
      <c r="C624" s="4">
        <v>49</v>
      </c>
      <c r="D624" s="8">
        <v>1.38</v>
      </c>
      <c r="E624" s="4">
        <v>27</v>
      </c>
      <c r="F624" s="8">
        <v>1.73</v>
      </c>
      <c r="G624" s="4">
        <v>22</v>
      </c>
      <c r="H624" s="8">
        <v>1.1100000000000001</v>
      </c>
      <c r="I624" s="4">
        <v>0</v>
      </c>
    </row>
    <row r="625" spans="1:9" x14ac:dyDescent="0.2">
      <c r="A625" s="2">
        <v>16</v>
      </c>
      <c r="B625" s="1" t="s">
        <v>163</v>
      </c>
      <c r="C625" s="4">
        <v>48</v>
      </c>
      <c r="D625" s="8">
        <v>1.35</v>
      </c>
      <c r="E625" s="4">
        <v>16</v>
      </c>
      <c r="F625" s="8">
        <v>1.03</v>
      </c>
      <c r="G625" s="4">
        <v>32</v>
      </c>
      <c r="H625" s="8">
        <v>1.61</v>
      </c>
      <c r="I625" s="4">
        <v>0</v>
      </c>
    </row>
    <row r="626" spans="1:9" x14ac:dyDescent="0.2">
      <c r="A626" s="2">
        <v>16</v>
      </c>
      <c r="B626" s="1" t="s">
        <v>189</v>
      </c>
      <c r="C626" s="4">
        <v>48</v>
      </c>
      <c r="D626" s="8">
        <v>1.35</v>
      </c>
      <c r="E626" s="4">
        <v>39</v>
      </c>
      <c r="F626" s="8">
        <v>2.5</v>
      </c>
      <c r="G626" s="4">
        <v>9</v>
      </c>
      <c r="H626" s="8">
        <v>0.45</v>
      </c>
      <c r="I626" s="4">
        <v>0</v>
      </c>
    </row>
    <row r="627" spans="1:9" x14ac:dyDescent="0.2">
      <c r="A627" s="2">
        <v>18</v>
      </c>
      <c r="B627" s="1" t="s">
        <v>178</v>
      </c>
      <c r="C627" s="4">
        <v>45</v>
      </c>
      <c r="D627" s="8">
        <v>1.27</v>
      </c>
      <c r="E627" s="4">
        <v>12</v>
      </c>
      <c r="F627" s="8">
        <v>0.77</v>
      </c>
      <c r="G627" s="4">
        <v>33</v>
      </c>
      <c r="H627" s="8">
        <v>1.66</v>
      </c>
      <c r="I627" s="4">
        <v>0</v>
      </c>
    </row>
    <row r="628" spans="1:9" x14ac:dyDescent="0.2">
      <c r="A628" s="2">
        <v>19</v>
      </c>
      <c r="B628" s="1" t="s">
        <v>158</v>
      </c>
      <c r="C628" s="4">
        <v>41</v>
      </c>
      <c r="D628" s="8">
        <v>1.1499999999999999</v>
      </c>
      <c r="E628" s="4">
        <v>6</v>
      </c>
      <c r="F628" s="8">
        <v>0.38</v>
      </c>
      <c r="G628" s="4">
        <v>35</v>
      </c>
      <c r="H628" s="8">
        <v>1.76</v>
      </c>
      <c r="I628" s="4">
        <v>0</v>
      </c>
    </row>
    <row r="629" spans="1:9" x14ac:dyDescent="0.2">
      <c r="A629" s="2">
        <v>20</v>
      </c>
      <c r="B629" s="1" t="s">
        <v>185</v>
      </c>
      <c r="C629" s="4">
        <v>40</v>
      </c>
      <c r="D629" s="8">
        <v>1.1299999999999999</v>
      </c>
      <c r="E629" s="4">
        <v>6</v>
      </c>
      <c r="F629" s="8">
        <v>0.38</v>
      </c>
      <c r="G629" s="4">
        <v>34</v>
      </c>
      <c r="H629" s="8">
        <v>1.71</v>
      </c>
      <c r="I629" s="4">
        <v>0</v>
      </c>
    </row>
    <row r="630" spans="1:9" x14ac:dyDescent="0.2">
      <c r="A630" s="1"/>
      <c r="C630" s="4"/>
      <c r="D630" s="8"/>
      <c r="E630" s="4"/>
      <c r="F630" s="8"/>
      <c r="G630" s="4"/>
      <c r="H630" s="8"/>
      <c r="I630" s="4"/>
    </row>
    <row r="631" spans="1:9" x14ac:dyDescent="0.2">
      <c r="A631" s="1" t="s">
        <v>28</v>
      </c>
      <c r="C631" s="4"/>
      <c r="D631" s="8"/>
      <c r="E631" s="4"/>
      <c r="F631" s="8"/>
      <c r="G631" s="4"/>
      <c r="H631" s="8"/>
      <c r="I631" s="4"/>
    </row>
    <row r="632" spans="1:9" x14ac:dyDescent="0.2">
      <c r="A632" s="2">
        <v>1</v>
      </c>
      <c r="B632" s="1" t="s">
        <v>167</v>
      </c>
      <c r="C632" s="4">
        <v>188</v>
      </c>
      <c r="D632" s="8">
        <v>4.42</v>
      </c>
      <c r="E632" s="4">
        <v>69</v>
      </c>
      <c r="F632" s="8">
        <v>4.3099999999999996</v>
      </c>
      <c r="G632" s="4">
        <v>119</v>
      </c>
      <c r="H632" s="8">
        <v>4.51</v>
      </c>
      <c r="I632" s="4">
        <v>0</v>
      </c>
    </row>
    <row r="633" spans="1:9" x14ac:dyDescent="0.2">
      <c r="A633" s="2">
        <v>2</v>
      </c>
      <c r="B633" s="1" t="s">
        <v>173</v>
      </c>
      <c r="C633" s="4">
        <v>184</v>
      </c>
      <c r="D633" s="8">
        <v>4.33</v>
      </c>
      <c r="E633" s="4">
        <v>143</v>
      </c>
      <c r="F633" s="8">
        <v>8.93</v>
      </c>
      <c r="G633" s="4">
        <v>41</v>
      </c>
      <c r="H633" s="8">
        <v>1.55</v>
      </c>
      <c r="I633" s="4">
        <v>0</v>
      </c>
    </row>
    <row r="634" spans="1:9" x14ac:dyDescent="0.2">
      <c r="A634" s="2">
        <v>3</v>
      </c>
      <c r="B634" s="1" t="s">
        <v>170</v>
      </c>
      <c r="C634" s="4">
        <v>135</v>
      </c>
      <c r="D634" s="8">
        <v>3.17</v>
      </c>
      <c r="E634" s="4">
        <v>124</v>
      </c>
      <c r="F634" s="8">
        <v>7.75</v>
      </c>
      <c r="G634" s="4">
        <v>10</v>
      </c>
      <c r="H634" s="8">
        <v>0.38</v>
      </c>
      <c r="I634" s="4">
        <v>1</v>
      </c>
    </row>
    <row r="635" spans="1:9" x14ac:dyDescent="0.2">
      <c r="A635" s="2">
        <v>4</v>
      </c>
      <c r="B635" s="1" t="s">
        <v>172</v>
      </c>
      <c r="C635" s="4">
        <v>103</v>
      </c>
      <c r="D635" s="8">
        <v>2.42</v>
      </c>
      <c r="E635" s="4">
        <v>99</v>
      </c>
      <c r="F635" s="8">
        <v>6.18</v>
      </c>
      <c r="G635" s="4">
        <v>4</v>
      </c>
      <c r="H635" s="8">
        <v>0.15</v>
      </c>
      <c r="I635" s="4">
        <v>0</v>
      </c>
    </row>
    <row r="636" spans="1:9" x14ac:dyDescent="0.2">
      <c r="A636" s="2">
        <v>4</v>
      </c>
      <c r="B636" s="1" t="s">
        <v>175</v>
      </c>
      <c r="C636" s="4">
        <v>103</v>
      </c>
      <c r="D636" s="8">
        <v>2.42</v>
      </c>
      <c r="E636" s="4">
        <v>86</v>
      </c>
      <c r="F636" s="8">
        <v>5.37</v>
      </c>
      <c r="G636" s="4">
        <v>17</v>
      </c>
      <c r="H636" s="8">
        <v>0.64</v>
      </c>
      <c r="I636" s="4">
        <v>0</v>
      </c>
    </row>
    <row r="637" spans="1:9" x14ac:dyDescent="0.2">
      <c r="A637" s="2">
        <v>6</v>
      </c>
      <c r="B637" s="1" t="s">
        <v>169</v>
      </c>
      <c r="C637" s="4">
        <v>102</v>
      </c>
      <c r="D637" s="8">
        <v>2.4</v>
      </c>
      <c r="E637" s="4">
        <v>79</v>
      </c>
      <c r="F637" s="8">
        <v>4.93</v>
      </c>
      <c r="G637" s="4">
        <v>23</v>
      </c>
      <c r="H637" s="8">
        <v>0.87</v>
      </c>
      <c r="I637" s="4">
        <v>0</v>
      </c>
    </row>
    <row r="638" spans="1:9" x14ac:dyDescent="0.2">
      <c r="A638" s="2">
        <v>7</v>
      </c>
      <c r="B638" s="1" t="s">
        <v>174</v>
      </c>
      <c r="C638" s="4">
        <v>95</v>
      </c>
      <c r="D638" s="8">
        <v>2.23</v>
      </c>
      <c r="E638" s="4">
        <v>68</v>
      </c>
      <c r="F638" s="8">
        <v>4.25</v>
      </c>
      <c r="G638" s="4">
        <v>27</v>
      </c>
      <c r="H638" s="8">
        <v>1.02</v>
      </c>
      <c r="I638" s="4">
        <v>0</v>
      </c>
    </row>
    <row r="639" spans="1:9" x14ac:dyDescent="0.2">
      <c r="A639" s="2">
        <v>8</v>
      </c>
      <c r="B639" s="1" t="s">
        <v>166</v>
      </c>
      <c r="C639" s="4">
        <v>80</v>
      </c>
      <c r="D639" s="8">
        <v>1.88</v>
      </c>
      <c r="E639" s="4">
        <v>9</v>
      </c>
      <c r="F639" s="8">
        <v>0.56000000000000005</v>
      </c>
      <c r="G639" s="4">
        <v>71</v>
      </c>
      <c r="H639" s="8">
        <v>2.69</v>
      </c>
      <c r="I639" s="4">
        <v>0</v>
      </c>
    </row>
    <row r="640" spans="1:9" x14ac:dyDescent="0.2">
      <c r="A640" s="2">
        <v>9</v>
      </c>
      <c r="B640" s="1" t="s">
        <v>168</v>
      </c>
      <c r="C640" s="4">
        <v>75</v>
      </c>
      <c r="D640" s="8">
        <v>1.76</v>
      </c>
      <c r="E640" s="4">
        <v>2</v>
      </c>
      <c r="F640" s="8">
        <v>0.12</v>
      </c>
      <c r="G640" s="4">
        <v>71</v>
      </c>
      <c r="H640" s="8">
        <v>2.69</v>
      </c>
      <c r="I640" s="4">
        <v>2</v>
      </c>
    </row>
    <row r="641" spans="1:9" x14ac:dyDescent="0.2">
      <c r="A641" s="2">
        <v>10</v>
      </c>
      <c r="B641" s="1" t="s">
        <v>200</v>
      </c>
      <c r="C641" s="4">
        <v>73</v>
      </c>
      <c r="D641" s="8">
        <v>1.72</v>
      </c>
      <c r="E641" s="4">
        <v>17</v>
      </c>
      <c r="F641" s="8">
        <v>1.06</v>
      </c>
      <c r="G641" s="4">
        <v>56</v>
      </c>
      <c r="H641" s="8">
        <v>2.12</v>
      </c>
      <c r="I641" s="4">
        <v>0</v>
      </c>
    </row>
    <row r="642" spans="1:9" x14ac:dyDescent="0.2">
      <c r="A642" s="2">
        <v>11</v>
      </c>
      <c r="B642" s="1" t="s">
        <v>160</v>
      </c>
      <c r="C642" s="4">
        <v>71</v>
      </c>
      <c r="D642" s="8">
        <v>1.67</v>
      </c>
      <c r="E642" s="4">
        <v>14</v>
      </c>
      <c r="F642" s="8">
        <v>0.87</v>
      </c>
      <c r="G642" s="4">
        <v>56</v>
      </c>
      <c r="H642" s="8">
        <v>2.12</v>
      </c>
      <c r="I642" s="4">
        <v>1</v>
      </c>
    </row>
    <row r="643" spans="1:9" x14ac:dyDescent="0.2">
      <c r="A643" s="2">
        <v>12</v>
      </c>
      <c r="B643" s="1" t="s">
        <v>197</v>
      </c>
      <c r="C643" s="4">
        <v>66</v>
      </c>
      <c r="D643" s="8">
        <v>1.55</v>
      </c>
      <c r="E643" s="4">
        <v>12</v>
      </c>
      <c r="F643" s="8">
        <v>0.75</v>
      </c>
      <c r="G643" s="4">
        <v>54</v>
      </c>
      <c r="H643" s="8">
        <v>2.0499999999999998</v>
      </c>
      <c r="I643" s="4">
        <v>0</v>
      </c>
    </row>
    <row r="644" spans="1:9" x14ac:dyDescent="0.2">
      <c r="A644" s="2">
        <v>12</v>
      </c>
      <c r="B644" s="1" t="s">
        <v>164</v>
      </c>
      <c r="C644" s="4">
        <v>66</v>
      </c>
      <c r="D644" s="8">
        <v>1.55</v>
      </c>
      <c r="E644" s="4">
        <v>30</v>
      </c>
      <c r="F644" s="8">
        <v>1.87</v>
      </c>
      <c r="G644" s="4">
        <v>36</v>
      </c>
      <c r="H644" s="8">
        <v>1.36</v>
      </c>
      <c r="I644" s="4">
        <v>0</v>
      </c>
    </row>
    <row r="645" spans="1:9" x14ac:dyDescent="0.2">
      <c r="A645" s="2">
        <v>14</v>
      </c>
      <c r="B645" s="1" t="s">
        <v>161</v>
      </c>
      <c r="C645" s="4">
        <v>64</v>
      </c>
      <c r="D645" s="8">
        <v>1.5</v>
      </c>
      <c r="E645" s="4">
        <v>3</v>
      </c>
      <c r="F645" s="8">
        <v>0.19</v>
      </c>
      <c r="G645" s="4">
        <v>61</v>
      </c>
      <c r="H645" s="8">
        <v>2.31</v>
      </c>
      <c r="I645" s="4">
        <v>0</v>
      </c>
    </row>
    <row r="646" spans="1:9" x14ac:dyDescent="0.2">
      <c r="A646" s="2">
        <v>15</v>
      </c>
      <c r="B646" s="1" t="s">
        <v>188</v>
      </c>
      <c r="C646" s="4">
        <v>62</v>
      </c>
      <c r="D646" s="8">
        <v>1.46</v>
      </c>
      <c r="E646" s="4">
        <v>38</v>
      </c>
      <c r="F646" s="8">
        <v>2.37</v>
      </c>
      <c r="G646" s="4">
        <v>24</v>
      </c>
      <c r="H646" s="8">
        <v>0.91</v>
      </c>
      <c r="I646" s="4">
        <v>0</v>
      </c>
    </row>
    <row r="647" spans="1:9" x14ac:dyDescent="0.2">
      <c r="A647" s="2">
        <v>16</v>
      </c>
      <c r="B647" s="1" t="s">
        <v>158</v>
      </c>
      <c r="C647" s="4">
        <v>56</v>
      </c>
      <c r="D647" s="8">
        <v>1.32</v>
      </c>
      <c r="E647" s="4">
        <v>3</v>
      </c>
      <c r="F647" s="8">
        <v>0.19</v>
      </c>
      <c r="G647" s="4">
        <v>53</v>
      </c>
      <c r="H647" s="8">
        <v>2.0099999999999998</v>
      </c>
      <c r="I647" s="4">
        <v>0</v>
      </c>
    </row>
    <row r="648" spans="1:9" x14ac:dyDescent="0.2">
      <c r="A648" s="2">
        <v>17</v>
      </c>
      <c r="B648" s="1" t="s">
        <v>157</v>
      </c>
      <c r="C648" s="4">
        <v>55</v>
      </c>
      <c r="D648" s="8">
        <v>1.29</v>
      </c>
      <c r="E648" s="4">
        <v>1</v>
      </c>
      <c r="F648" s="8">
        <v>0.06</v>
      </c>
      <c r="G648" s="4">
        <v>54</v>
      </c>
      <c r="H648" s="8">
        <v>2.0499999999999998</v>
      </c>
      <c r="I648" s="4">
        <v>0</v>
      </c>
    </row>
    <row r="649" spans="1:9" x14ac:dyDescent="0.2">
      <c r="A649" s="2">
        <v>18</v>
      </c>
      <c r="B649" s="1" t="s">
        <v>165</v>
      </c>
      <c r="C649" s="4">
        <v>54</v>
      </c>
      <c r="D649" s="8">
        <v>1.27</v>
      </c>
      <c r="E649" s="4">
        <v>2</v>
      </c>
      <c r="F649" s="8">
        <v>0.12</v>
      </c>
      <c r="G649" s="4">
        <v>52</v>
      </c>
      <c r="H649" s="8">
        <v>1.97</v>
      </c>
      <c r="I649" s="4">
        <v>0</v>
      </c>
    </row>
    <row r="650" spans="1:9" x14ac:dyDescent="0.2">
      <c r="A650" s="2">
        <v>18</v>
      </c>
      <c r="B650" s="1" t="s">
        <v>171</v>
      </c>
      <c r="C650" s="4">
        <v>54</v>
      </c>
      <c r="D650" s="8">
        <v>1.27</v>
      </c>
      <c r="E650" s="4">
        <v>25</v>
      </c>
      <c r="F650" s="8">
        <v>1.56</v>
      </c>
      <c r="G650" s="4">
        <v>29</v>
      </c>
      <c r="H650" s="8">
        <v>1.1000000000000001</v>
      </c>
      <c r="I650" s="4">
        <v>0</v>
      </c>
    </row>
    <row r="651" spans="1:9" x14ac:dyDescent="0.2">
      <c r="A651" s="2">
        <v>20</v>
      </c>
      <c r="B651" s="1" t="s">
        <v>177</v>
      </c>
      <c r="C651" s="4">
        <v>51</v>
      </c>
      <c r="D651" s="8">
        <v>1.2</v>
      </c>
      <c r="E651" s="4">
        <v>9</v>
      </c>
      <c r="F651" s="8">
        <v>0.56000000000000005</v>
      </c>
      <c r="G651" s="4">
        <v>42</v>
      </c>
      <c r="H651" s="8">
        <v>1.59</v>
      </c>
      <c r="I651" s="4">
        <v>0</v>
      </c>
    </row>
    <row r="652" spans="1:9" x14ac:dyDescent="0.2">
      <c r="A652" s="1"/>
      <c r="C652" s="4"/>
      <c r="D652" s="8"/>
      <c r="E652" s="4"/>
      <c r="F652" s="8"/>
      <c r="G652" s="4"/>
      <c r="H652" s="8"/>
      <c r="I652" s="4"/>
    </row>
    <row r="653" spans="1:9" x14ac:dyDescent="0.2">
      <c r="A653" s="1" t="s">
        <v>29</v>
      </c>
      <c r="C653" s="4"/>
      <c r="D653" s="8"/>
      <c r="E653" s="4"/>
      <c r="F653" s="8"/>
      <c r="G653" s="4"/>
      <c r="H653" s="8"/>
      <c r="I653" s="4"/>
    </row>
    <row r="654" spans="1:9" x14ac:dyDescent="0.2">
      <c r="A654" s="2">
        <v>1</v>
      </c>
      <c r="B654" s="1" t="s">
        <v>173</v>
      </c>
      <c r="C654" s="4">
        <v>275</v>
      </c>
      <c r="D654" s="8">
        <v>4.76</v>
      </c>
      <c r="E654" s="4">
        <v>228</v>
      </c>
      <c r="F654" s="8">
        <v>9.01</v>
      </c>
      <c r="G654" s="4">
        <v>47</v>
      </c>
      <c r="H654" s="8">
        <v>1.45</v>
      </c>
      <c r="I654" s="4">
        <v>0</v>
      </c>
    </row>
    <row r="655" spans="1:9" x14ac:dyDescent="0.2">
      <c r="A655" s="2">
        <v>2</v>
      </c>
      <c r="B655" s="1" t="s">
        <v>170</v>
      </c>
      <c r="C655" s="4">
        <v>202</v>
      </c>
      <c r="D655" s="8">
        <v>3.5</v>
      </c>
      <c r="E655" s="4">
        <v>188</v>
      </c>
      <c r="F655" s="8">
        <v>7.43</v>
      </c>
      <c r="G655" s="4">
        <v>14</v>
      </c>
      <c r="H655" s="8">
        <v>0.43</v>
      </c>
      <c r="I655" s="4">
        <v>0</v>
      </c>
    </row>
    <row r="656" spans="1:9" x14ac:dyDescent="0.2">
      <c r="A656" s="2">
        <v>3</v>
      </c>
      <c r="B656" s="1" t="s">
        <v>172</v>
      </c>
      <c r="C656" s="4">
        <v>199</v>
      </c>
      <c r="D656" s="8">
        <v>3.44</v>
      </c>
      <c r="E656" s="4">
        <v>181</v>
      </c>
      <c r="F656" s="8">
        <v>7.15</v>
      </c>
      <c r="G656" s="4">
        <v>18</v>
      </c>
      <c r="H656" s="8">
        <v>0.56000000000000005</v>
      </c>
      <c r="I656" s="4">
        <v>0</v>
      </c>
    </row>
    <row r="657" spans="1:9" x14ac:dyDescent="0.2">
      <c r="A657" s="2">
        <v>4</v>
      </c>
      <c r="B657" s="1" t="s">
        <v>169</v>
      </c>
      <c r="C657" s="4">
        <v>183</v>
      </c>
      <c r="D657" s="8">
        <v>3.17</v>
      </c>
      <c r="E657" s="4">
        <v>138</v>
      </c>
      <c r="F657" s="8">
        <v>5.45</v>
      </c>
      <c r="G657" s="4">
        <v>45</v>
      </c>
      <c r="H657" s="8">
        <v>1.39</v>
      </c>
      <c r="I657" s="4">
        <v>0</v>
      </c>
    </row>
    <row r="658" spans="1:9" x14ac:dyDescent="0.2">
      <c r="A658" s="2">
        <v>5</v>
      </c>
      <c r="B658" s="1" t="s">
        <v>167</v>
      </c>
      <c r="C658" s="4">
        <v>174</v>
      </c>
      <c r="D658" s="8">
        <v>3.01</v>
      </c>
      <c r="E658" s="4">
        <v>61</v>
      </c>
      <c r="F658" s="8">
        <v>2.41</v>
      </c>
      <c r="G658" s="4">
        <v>113</v>
      </c>
      <c r="H658" s="8">
        <v>3.49</v>
      </c>
      <c r="I658" s="4">
        <v>0</v>
      </c>
    </row>
    <row r="659" spans="1:9" x14ac:dyDescent="0.2">
      <c r="A659" s="2">
        <v>6</v>
      </c>
      <c r="B659" s="1" t="s">
        <v>175</v>
      </c>
      <c r="C659" s="4">
        <v>163</v>
      </c>
      <c r="D659" s="8">
        <v>2.82</v>
      </c>
      <c r="E659" s="4">
        <v>145</v>
      </c>
      <c r="F659" s="8">
        <v>5.73</v>
      </c>
      <c r="G659" s="4">
        <v>18</v>
      </c>
      <c r="H659" s="8">
        <v>0.56000000000000005</v>
      </c>
      <c r="I659" s="4">
        <v>0</v>
      </c>
    </row>
    <row r="660" spans="1:9" x14ac:dyDescent="0.2">
      <c r="A660" s="2">
        <v>7</v>
      </c>
      <c r="B660" s="1" t="s">
        <v>174</v>
      </c>
      <c r="C660" s="4">
        <v>160</v>
      </c>
      <c r="D660" s="8">
        <v>2.77</v>
      </c>
      <c r="E660" s="4">
        <v>129</v>
      </c>
      <c r="F660" s="8">
        <v>5.0999999999999996</v>
      </c>
      <c r="G660" s="4">
        <v>31</v>
      </c>
      <c r="H660" s="8">
        <v>0.96</v>
      </c>
      <c r="I660" s="4">
        <v>0</v>
      </c>
    </row>
    <row r="661" spans="1:9" x14ac:dyDescent="0.2">
      <c r="A661" s="2">
        <v>8</v>
      </c>
      <c r="B661" s="1" t="s">
        <v>164</v>
      </c>
      <c r="C661" s="4">
        <v>100</v>
      </c>
      <c r="D661" s="8">
        <v>1.73</v>
      </c>
      <c r="E661" s="4">
        <v>52</v>
      </c>
      <c r="F661" s="8">
        <v>2.0499999999999998</v>
      </c>
      <c r="G661" s="4">
        <v>48</v>
      </c>
      <c r="H661" s="8">
        <v>1.48</v>
      </c>
      <c r="I661" s="4">
        <v>0</v>
      </c>
    </row>
    <row r="662" spans="1:9" x14ac:dyDescent="0.2">
      <c r="A662" s="2">
        <v>9</v>
      </c>
      <c r="B662" s="1" t="s">
        <v>165</v>
      </c>
      <c r="C662" s="4">
        <v>93</v>
      </c>
      <c r="D662" s="8">
        <v>1.61</v>
      </c>
      <c r="E662" s="4">
        <v>7</v>
      </c>
      <c r="F662" s="8">
        <v>0.28000000000000003</v>
      </c>
      <c r="G662" s="4">
        <v>86</v>
      </c>
      <c r="H662" s="8">
        <v>2.66</v>
      </c>
      <c r="I662" s="4">
        <v>0</v>
      </c>
    </row>
    <row r="663" spans="1:9" x14ac:dyDescent="0.2">
      <c r="A663" s="2">
        <v>10</v>
      </c>
      <c r="B663" s="1" t="s">
        <v>171</v>
      </c>
      <c r="C663" s="4">
        <v>91</v>
      </c>
      <c r="D663" s="8">
        <v>1.57</v>
      </c>
      <c r="E663" s="4">
        <v>50</v>
      </c>
      <c r="F663" s="8">
        <v>1.98</v>
      </c>
      <c r="G663" s="4">
        <v>41</v>
      </c>
      <c r="H663" s="8">
        <v>1.27</v>
      </c>
      <c r="I663" s="4">
        <v>0</v>
      </c>
    </row>
    <row r="664" spans="1:9" x14ac:dyDescent="0.2">
      <c r="A664" s="2">
        <v>11</v>
      </c>
      <c r="B664" s="1" t="s">
        <v>186</v>
      </c>
      <c r="C664" s="4">
        <v>90</v>
      </c>
      <c r="D664" s="8">
        <v>1.56</v>
      </c>
      <c r="E664" s="4">
        <v>23</v>
      </c>
      <c r="F664" s="8">
        <v>0.91</v>
      </c>
      <c r="G664" s="4">
        <v>67</v>
      </c>
      <c r="H664" s="8">
        <v>2.0699999999999998</v>
      </c>
      <c r="I664" s="4">
        <v>0</v>
      </c>
    </row>
    <row r="665" spans="1:9" x14ac:dyDescent="0.2">
      <c r="A665" s="2">
        <v>12</v>
      </c>
      <c r="B665" s="1" t="s">
        <v>160</v>
      </c>
      <c r="C665" s="4">
        <v>89</v>
      </c>
      <c r="D665" s="8">
        <v>1.54</v>
      </c>
      <c r="E665" s="4">
        <v>22</v>
      </c>
      <c r="F665" s="8">
        <v>0.87</v>
      </c>
      <c r="G665" s="4">
        <v>67</v>
      </c>
      <c r="H665" s="8">
        <v>2.0699999999999998</v>
      </c>
      <c r="I665" s="4">
        <v>0</v>
      </c>
    </row>
    <row r="666" spans="1:9" x14ac:dyDescent="0.2">
      <c r="A666" s="2">
        <v>13</v>
      </c>
      <c r="B666" s="1" t="s">
        <v>163</v>
      </c>
      <c r="C666" s="4">
        <v>88</v>
      </c>
      <c r="D666" s="8">
        <v>1.52</v>
      </c>
      <c r="E666" s="4">
        <v>26</v>
      </c>
      <c r="F666" s="8">
        <v>1.03</v>
      </c>
      <c r="G666" s="4">
        <v>62</v>
      </c>
      <c r="H666" s="8">
        <v>1.92</v>
      </c>
      <c r="I666" s="4">
        <v>0</v>
      </c>
    </row>
    <row r="667" spans="1:9" x14ac:dyDescent="0.2">
      <c r="A667" s="2">
        <v>14</v>
      </c>
      <c r="B667" s="1" t="s">
        <v>162</v>
      </c>
      <c r="C667" s="4">
        <v>82</v>
      </c>
      <c r="D667" s="8">
        <v>1.42</v>
      </c>
      <c r="E667" s="4">
        <v>59</v>
      </c>
      <c r="F667" s="8">
        <v>2.33</v>
      </c>
      <c r="G667" s="4">
        <v>23</v>
      </c>
      <c r="H667" s="8">
        <v>0.71</v>
      </c>
      <c r="I667" s="4">
        <v>0</v>
      </c>
    </row>
    <row r="668" spans="1:9" x14ac:dyDescent="0.2">
      <c r="A668" s="2">
        <v>15</v>
      </c>
      <c r="B668" s="1" t="s">
        <v>168</v>
      </c>
      <c r="C668" s="4">
        <v>81</v>
      </c>
      <c r="D668" s="8">
        <v>1.4</v>
      </c>
      <c r="E668" s="4">
        <v>3</v>
      </c>
      <c r="F668" s="8">
        <v>0.12</v>
      </c>
      <c r="G668" s="4">
        <v>77</v>
      </c>
      <c r="H668" s="8">
        <v>2.38</v>
      </c>
      <c r="I668" s="4">
        <v>1</v>
      </c>
    </row>
    <row r="669" spans="1:9" x14ac:dyDescent="0.2">
      <c r="A669" s="2">
        <v>16</v>
      </c>
      <c r="B669" s="1" t="s">
        <v>179</v>
      </c>
      <c r="C669" s="4">
        <v>80</v>
      </c>
      <c r="D669" s="8">
        <v>1.38</v>
      </c>
      <c r="E669" s="4">
        <v>50</v>
      </c>
      <c r="F669" s="8">
        <v>1.98</v>
      </c>
      <c r="G669" s="4">
        <v>30</v>
      </c>
      <c r="H669" s="8">
        <v>0.93</v>
      </c>
      <c r="I669" s="4">
        <v>0</v>
      </c>
    </row>
    <row r="670" spans="1:9" x14ac:dyDescent="0.2">
      <c r="A670" s="2">
        <v>17</v>
      </c>
      <c r="B670" s="1" t="s">
        <v>159</v>
      </c>
      <c r="C670" s="4">
        <v>78</v>
      </c>
      <c r="D670" s="8">
        <v>1.35</v>
      </c>
      <c r="E670" s="4">
        <v>26</v>
      </c>
      <c r="F670" s="8">
        <v>1.03</v>
      </c>
      <c r="G670" s="4">
        <v>52</v>
      </c>
      <c r="H670" s="8">
        <v>1.61</v>
      </c>
      <c r="I670" s="4">
        <v>0</v>
      </c>
    </row>
    <row r="671" spans="1:9" x14ac:dyDescent="0.2">
      <c r="A671" s="2">
        <v>18</v>
      </c>
      <c r="B671" s="1" t="s">
        <v>166</v>
      </c>
      <c r="C671" s="4">
        <v>76</v>
      </c>
      <c r="D671" s="8">
        <v>1.32</v>
      </c>
      <c r="E671" s="4">
        <v>15</v>
      </c>
      <c r="F671" s="8">
        <v>0.59</v>
      </c>
      <c r="G671" s="4">
        <v>60</v>
      </c>
      <c r="H671" s="8">
        <v>1.86</v>
      </c>
      <c r="I671" s="4">
        <v>1</v>
      </c>
    </row>
    <row r="672" spans="1:9" x14ac:dyDescent="0.2">
      <c r="A672" s="2">
        <v>19</v>
      </c>
      <c r="B672" s="1" t="s">
        <v>185</v>
      </c>
      <c r="C672" s="4">
        <v>75</v>
      </c>
      <c r="D672" s="8">
        <v>1.3</v>
      </c>
      <c r="E672" s="4">
        <v>25</v>
      </c>
      <c r="F672" s="8">
        <v>0.99</v>
      </c>
      <c r="G672" s="4">
        <v>50</v>
      </c>
      <c r="H672" s="8">
        <v>1.55</v>
      </c>
      <c r="I672" s="4">
        <v>0</v>
      </c>
    </row>
    <row r="673" spans="1:9" x14ac:dyDescent="0.2">
      <c r="A673" s="2">
        <v>20</v>
      </c>
      <c r="B673" s="1" t="s">
        <v>158</v>
      </c>
      <c r="C673" s="4">
        <v>73</v>
      </c>
      <c r="D673" s="8">
        <v>1.26</v>
      </c>
      <c r="E673" s="4">
        <v>4</v>
      </c>
      <c r="F673" s="8">
        <v>0.16</v>
      </c>
      <c r="G673" s="4">
        <v>69</v>
      </c>
      <c r="H673" s="8">
        <v>2.13</v>
      </c>
      <c r="I673" s="4">
        <v>0</v>
      </c>
    </row>
    <row r="674" spans="1:9" x14ac:dyDescent="0.2">
      <c r="A674" s="2">
        <v>20</v>
      </c>
      <c r="B674" s="1" t="s">
        <v>161</v>
      </c>
      <c r="C674" s="4">
        <v>73</v>
      </c>
      <c r="D674" s="8">
        <v>1.26</v>
      </c>
      <c r="E674" s="4">
        <v>8</v>
      </c>
      <c r="F674" s="8">
        <v>0.32</v>
      </c>
      <c r="G674" s="4">
        <v>65</v>
      </c>
      <c r="H674" s="8">
        <v>2.0099999999999998</v>
      </c>
      <c r="I674" s="4">
        <v>0</v>
      </c>
    </row>
    <row r="675" spans="1:9" x14ac:dyDescent="0.2">
      <c r="A675" s="1"/>
      <c r="C675" s="4"/>
      <c r="D675" s="8"/>
      <c r="E675" s="4"/>
      <c r="F675" s="8"/>
      <c r="G675" s="4"/>
      <c r="H675" s="8"/>
      <c r="I675" s="4"/>
    </row>
    <row r="676" spans="1:9" x14ac:dyDescent="0.2">
      <c r="A676" s="1" t="s">
        <v>30</v>
      </c>
      <c r="C676" s="4"/>
      <c r="D676" s="8"/>
      <c r="E676" s="4"/>
      <c r="F676" s="8"/>
      <c r="G676" s="4"/>
      <c r="H676" s="8"/>
      <c r="I676" s="4"/>
    </row>
    <row r="677" spans="1:9" x14ac:dyDescent="0.2">
      <c r="A677" s="2">
        <v>1</v>
      </c>
      <c r="B677" s="1" t="s">
        <v>167</v>
      </c>
      <c r="C677" s="4">
        <v>131</v>
      </c>
      <c r="D677" s="8">
        <v>8.49</v>
      </c>
      <c r="E677" s="4">
        <v>63</v>
      </c>
      <c r="F677" s="8">
        <v>8.92</v>
      </c>
      <c r="G677" s="4">
        <v>68</v>
      </c>
      <c r="H677" s="8">
        <v>8.2200000000000006</v>
      </c>
      <c r="I677" s="4">
        <v>0</v>
      </c>
    </row>
    <row r="678" spans="1:9" x14ac:dyDescent="0.2">
      <c r="A678" s="2">
        <v>2</v>
      </c>
      <c r="B678" s="1" t="s">
        <v>173</v>
      </c>
      <c r="C678" s="4">
        <v>62</v>
      </c>
      <c r="D678" s="8">
        <v>4.0199999999999996</v>
      </c>
      <c r="E678" s="4">
        <v>50</v>
      </c>
      <c r="F678" s="8">
        <v>7.08</v>
      </c>
      <c r="G678" s="4">
        <v>12</v>
      </c>
      <c r="H678" s="8">
        <v>1.45</v>
      </c>
      <c r="I678" s="4">
        <v>0</v>
      </c>
    </row>
    <row r="679" spans="1:9" x14ac:dyDescent="0.2">
      <c r="A679" s="2">
        <v>3</v>
      </c>
      <c r="B679" s="1" t="s">
        <v>170</v>
      </c>
      <c r="C679" s="4">
        <v>55</v>
      </c>
      <c r="D679" s="8">
        <v>3.56</v>
      </c>
      <c r="E679" s="4">
        <v>49</v>
      </c>
      <c r="F679" s="8">
        <v>6.94</v>
      </c>
      <c r="G679" s="4">
        <v>6</v>
      </c>
      <c r="H679" s="8">
        <v>0.73</v>
      </c>
      <c r="I679" s="4">
        <v>0</v>
      </c>
    </row>
    <row r="680" spans="1:9" x14ac:dyDescent="0.2">
      <c r="A680" s="2">
        <v>4</v>
      </c>
      <c r="B680" s="1" t="s">
        <v>172</v>
      </c>
      <c r="C680" s="4">
        <v>53</v>
      </c>
      <c r="D680" s="8">
        <v>3.43</v>
      </c>
      <c r="E680" s="4">
        <v>50</v>
      </c>
      <c r="F680" s="8">
        <v>7.08</v>
      </c>
      <c r="G680" s="4">
        <v>3</v>
      </c>
      <c r="H680" s="8">
        <v>0.36</v>
      </c>
      <c r="I680" s="4">
        <v>0</v>
      </c>
    </row>
    <row r="681" spans="1:9" x14ac:dyDescent="0.2">
      <c r="A681" s="2">
        <v>5</v>
      </c>
      <c r="B681" s="1" t="s">
        <v>169</v>
      </c>
      <c r="C681" s="4">
        <v>52</v>
      </c>
      <c r="D681" s="8">
        <v>3.37</v>
      </c>
      <c r="E681" s="4">
        <v>43</v>
      </c>
      <c r="F681" s="8">
        <v>6.09</v>
      </c>
      <c r="G681" s="4">
        <v>9</v>
      </c>
      <c r="H681" s="8">
        <v>1.0900000000000001</v>
      </c>
      <c r="I681" s="4">
        <v>0</v>
      </c>
    </row>
    <row r="682" spans="1:9" x14ac:dyDescent="0.2">
      <c r="A682" s="2">
        <v>6</v>
      </c>
      <c r="B682" s="1" t="s">
        <v>175</v>
      </c>
      <c r="C682" s="4">
        <v>44</v>
      </c>
      <c r="D682" s="8">
        <v>2.85</v>
      </c>
      <c r="E682" s="4">
        <v>37</v>
      </c>
      <c r="F682" s="8">
        <v>5.24</v>
      </c>
      <c r="G682" s="4">
        <v>7</v>
      </c>
      <c r="H682" s="8">
        <v>0.85</v>
      </c>
      <c r="I682" s="4">
        <v>0</v>
      </c>
    </row>
    <row r="683" spans="1:9" x14ac:dyDescent="0.2">
      <c r="A683" s="2">
        <v>7</v>
      </c>
      <c r="B683" s="1" t="s">
        <v>166</v>
      </c>
      <c r="C683" s="4">
        <v>43</v>
      </c>
      <c r="D683" s="8">
        <v>2.79</v>
      </c>
      <c r="E683" s="4">
        <v>5</v>
      </c>
      <c r="F683" s="8">
        <v>0.71</v>
      </c>
      <c r="G683" s="4">
        <v>38</v>
      </c>
      <c r="H683" s="8">
        <v>4.59</v>
      </c>
      <c r="I683" s="4">
        <v>0</v>
      </c>
    </row>
    <row r="684" spans="1:9" x14ac:dyDescent="0.2">
      <c r="A684" s="2">
        <v>7</v>
      </c>
      <c r="B684" s="1" t="s">
        <v>191</v>
      </c>
      <c r="C684" s="4">
        <v>43</v>
      </c>
      <c r="D684" s="8">
        <v>2.79</v>
      </c>
      <c r="E684" s="4">
        <v>42</v>
      </c>
      <c r="F684" s="8">
        <v>5.95</v>
      </c>
      <c r="G684" s="4">
        <v>1</v>
      </c>
      <c r="H684" s="8">
        <v>0.12</v>
      </c>
      <c r="I684" s="4">
        <v>0</v>
      </c>
    </row>
    <row r="685" spans="1:9" x14ac:dyDescent="0.2">
      <c r="A685" s="2">
        <v>9</v>
      </c>
      <c r="B685" s="1" t="s">
        <v>174</v>
      </c>
      <c r="C685" s="4">
        <v>41</v>
      </c>
      <c r="D685" s="8">
        <v>2.66</v>
      </c>
      <c r="E685" s="4">
        <v>36</v>
      </c>
      <c r="F685" s="8">
        <v>5.0999999999999996</v>
      </c>
      <c r="G685" s="4">
        <v>5</v>
      </c>
      <c r="H685" s="8">
        <v>0.6</v>
      </c>
      <c r="I685" s="4">
        <v>0</v>
      </c>
    </row>
    <row r="686" spans="1:9" x14ac:dyDescent="0.2">
      <c r="A686" s="2">
        <v>10</v>
      </c>
      <c r="B686" s="1" t="s">
        <v>171</v>
      </c>
      <c r="C686" s="4">
        <v>28</v>
      </c>
      <c r="D686" s="8">
        <v>1.81</v>
      </c>
      <c r="E686" s="4">
        <v>20</v>
      </c>
      <c r="F686" s="8">
        <v>2.83</v>
      </c>
      <c r="G686" s="4">
        <v>8</v>
      </c>
      <c r="H686" s="8">
        <v>0.97</v>
      </c>
      <c r="I686" s="4">
        <v>0</v>
      </c>
    </row>
    <row r="687" spans="1:9" x14ac:dyDescent="0.2">
      <c r="A687" s="2">
        <v>11</v>
      </c>
      <c r="B687" s="1" t="s">
        <v>160</v>
      </c>
      <c r="C687" s="4">
        <v>27</v>
      </c>
      <c r="D687" s="8">
        <v>1.75</v>
      </c>
      <c r="E687" s="4">
        <v>4</v>
      </c>
      <c r="F687" s="8">
        <v>0.56999999999999995</v>
      </c>
      <c r="G687" s="4">
        <v>23</v>
      </c>
      <c r="H687" s="8">
        <v>2.78</v>
      </c>
      <c r="I687" s="4">
        <v>0</v>
      </c>
    </row>
    <row r="688" spans="1:9" x14ac:dyDescent="0.2">
      <c r="A688" s="2">
        <v>11</v>
      </c>
      <c r="B688" s="1" t="s">
        <v>164</v>
      </c>
      <c r="C688" s="4">
        <v>27</v>
      </c>
      <c r="D688" s="8">
        <v>1.75</v>
      </c>
      <c r="E688" s="4">
        <v>18</v>
      </c>
      <c r="F688" s="8">
        <v>2.5499999999999998</v>
      </c>
      <c r="G688" s="4">
        <v>9</v>
      </c>
      <c r="H688" s="8">
        <v>1.0900000000000001</v>
      </c>
      <c r="I688" s="4">
        <v>0</v>
      </c>
    </row>
    <row r="689" spans="1:9" x14ac:dyDescent="0.2">
      <c r="A689" s="2">
        <v>13</v>
      </c>
      <c r="B689" s="1" t="s">
        <v>165</v>
      </c>
      <c r="C689" s="4">
        <v>26</v>
      </c>
      <c r="D689" s="8">
        <v>1.69</v>
      </c>
      <c r="E689" s="4">
        <v>4</v>
      </c>
      <c r="F689" s="8">
        <v>0.56999999999999995</v>
      </c>
      <c r="G689" s="4">
        <v>22</v>
      </c>
      <c r="H689" s="8">
        <v>2.66</v>
      </c>
      <c r="I689" s="4">
        <v>0</v>
      </c>
    </row>
    <row r="690" spans="1:9" x14ac:dyDescent="0.2">
      <c r="A690" s="2">
        <v>14</v>
      </c>
      <c r="B690" s="1" t="s">
        <v>177</v>
      </c>
      <c r="C690" s="4">
        <v>23</v>
      </c>
      <c r="D690" s="8">
        <v>1.49</v>
      </c>
      <c r="E690" s="4">
        <v>1</v>
      </c>
      <c r="F690" s="8">
        <v>0.14000000000000001</v>
      </c>
      <c r="G690" s="4">
        <v>22</v>
      </c>
      <c r="H690" s="8">
        <v>2.66</v>
      </c>
      <c r="I690" s="4">
        <v>0</v>
      </c>
    </row>
    <row r="691" spans="1:9" x14ac:dyDescent="0.2">
      <c r="A691" s="2">
        <v>14</v>
      </c>
      <c r="B691" s="1" t="s">
        <v>162</v>
      </c>
      <c r="C691" s="4">
        <v>23</v>
      </c>
      <c r="D691" s="8">
        <v>1.49</v>
      </c>
      <c r="E691" s="4">
        <v>11</v>
      </c>
      <c r="F691" s="8">
        <v>1.56</v>
      </c>
      <c r="G691" s="4">
        <v>12</v>
      </c>
      <c r="H691" s="8">
        <v>1.45</v>
      </c>
      <c r="I691" s="4">
        <v>0</v>
      </c>
    </row>
    <row r="692" spans="1:9" x14ac:dyDescent="0.2">
      <c r="A692" s="2">
        <v>16</v>
      </c>
      <c r="B692" s="1" t="s">
        <v>168</v>
      </c>
      <c r="C692" s="4">
        <v>22</v>
      </c>
      <c r="D692" s="8">
        <v>1.43</v>
      </c>
      <c r="E692" s="4">
        <v>2</v>
      </c>
      <c r="F692" s="8">
        <v>0.28000000000000003</v>
      </c>
      <c r="G692" s="4">
        <v>20</v>
      </c>
      <c r="H692" s="8">
        <v>2.42</v>
      </c>
      <c r="I692" s="4">
        <v>0</v>
      </c>
    </row>
    <row r="693" spans="1:9" x14ac:dyDescent="0.2">
      <c r="A693" s="2">
        <v>17</v>
      </c>
      <c r="B693" s="1" t="s">
        <v>189</v>
      </c>
      <c r="C693" s="4">
        <v>21</v>
      </c>
      <c r="D693" s="8">
        <v>1.36</v>
      </c>
      <c r="E693" s="4">
        <v>12</v>
      </c>
      <c r="F693" s="8">
        <v>1.7</v>
      </c>
      <c r="G693" s="4">
        <v>9</v>
      </c>
      <c r="H693" s="8">
        <v>1.0900000000000001</v>
      </c>
      <c r="I693" s="4">
        <v>0</v>
      </c>
    </row>
    <row r="694" spans="1:9" x14ac:dyDescent="0.2">
      <c r="A694" s="2">
        <v>18</v>
      </c>
      <c r="B694" s="1" t="s">
        <v>182</v>
      </c>
      <c r="C694" s="4">
        <v>19</v>
      </c>
      <c r="D694" s="8">
        <v>1.23</v>
      </c>
      <c r="E694" s="4">
        <v>1</v>
      </c>
      <c r="F694" s="8">
        <v>0.14000000000000001</v>
      </c>
      <c r="G694" s="4">
        <v>18</v>
      </c>
      <c r="H694" s="8">
        <v>2.1800000000000002</v>
      </c>
      <c r="I694" s="4">
        <v>0</v>
      </c>
    </row>
    <row r="695" spans="1:9" x14ac:dyDescent="0.2">
      <c r="A695" s="2">
        <v>18</v>
      </c>
      <c r="B695" s="1" t="s">
        <v>188</v>
      </c>
      <c r="C695" s="4">
        <v>19</v>
      </c>
      <c r="D695" s="8">
        <v>1.23</v>
      </c>
      <c r="E695" s="4">
        <v>13</v>
      </c>
      <c r="F695" s="8">
        <v>1.84</v>
      </c>
      <c r="G695" s="4">
        <v>6</v>
      </c>
      <c r="H695" s="8">
        <v>0.73</v>
      </c>
      <c r="I695" s="4">
        <v>0</v>
      </c>
    </row>
    <row r="696" spans="1:9" x14ac:dyDescent="0.2">
      <c r="A696" s="2">
        <v>18</v>
      </c>
      <c r="B696" s="1" t="s">
        <v>178</v>
      </c>
      <c r="C696" s="4">
        <v>19</v>
      </c>
      <c r="D696" s="8">
        <v>1.23</v>
      </c>
      <c r="E696" s="4">
        <v>4</v>
      </c>
      <c r="F696" s="8">
        <v>0.56999999999999995</v>
      </c>
      <c r="G696" s="4">
        <v>15</v>
      </c>
      <c r="H696" s="8">
        <v>1.81</v>
      </c>
      <c r="I696" s="4">
        <v>0</v>
      </c>
    </row>
    <row r="697" spans="1:9" x14ac:dyDescent="0.2">
      <c r="A697" s="1"/>
      <c r="C697" s="4"/>
      <c r="D697" s="8"/>
      <c r="E697" s="4"/>
      <c r="F697" s="8"/>
      <c r="G697" s="4"/>
      <c r="H697" s="8"/>
      <c r="I697" s="4"/>
    </row>
    <row r="698" spans="1:9" x14ac:dyDescent="0.2">
      <c r="A698" s="1" t="s">
        <v>31</v>
      </c>
      <c r="C698" s="4"/>
      <c r="D698" s="8"/>
      <c r="E698" s="4"/>
      <c r="F698" s="8"/>
      <c r="G698" s="4"/>
      <c r="H698" s="8"/>
      <c r="I698" s="4"/>
    </row>
    <row r="699" spans="1:9" x14ac:dyDescent="0.2">
      <c r="A699" s="2">
        <v>1</v>
      </c>
      <c r="B699" s="1" t="s">
        <v>167</v>
      </c>
      <c r="C699" s="4">
        <v>244</v>
      </c>
      <c r="D699" s="8">
        <v>8.36</v>
      </c>
      <c r="E699" s="4">
        <v>114</v>
      </c>
      <c r="F699" s="8">
        <v>12.49</v>
      </c>
      <c r="G699" s="4">
        <v>130</v>
      </c>
      <c r="H699" s="8">
        <v>6.51</v>
      </c>
      <c r="I699" s="4">
        <v>0</v>
      </c>
    </row>
    <row r="700" spans="1:9" x14ac:dyDescent="0.2">
      <c r="A700" s="2">
        <v>2</v>
      </c>
      <c r="B700" s="1" t="s">
        <v>166</v>
      </c>
      <c r="C700" s="4">
        <v>199</v>
      </c>
      <c r="D700" s="8">
        <v>6.82</v>
      </c>
      <c r="E700" s="4">
        <v>2</v>
      </c>
      <c r="F700" s="8">
        <v>0.22</v>
      </c>
      <c r="G700" s="4">
        <v>197</v>
      </c>
      <c r="H700" s="8">
        <v>9.8699999999999992</v>
      </c>
      <c r="I700" s="4">
        <v>0</v>
      </c>
    </row>
    <row r="701" spans="1:9" x14ac:dyDescent="0.2">
      <c r="A701" s="2">
        <v>3</v>
      </c>
      <c r="B701" s="1" t="s">
        <v>173</v>
      </c>
      <c r="C701" s="4">
        <v>95</v>
      </c>
      <c r="D701" s="8">
        <v>3.26</v>
      </c>
      <c r="E701" s="4">
        <v>72</v>
      </c>
      <c r="F701" s="8">
        <v>7.89</v>
      </c>
      <c r="G701" s="4">
        <v>23</v>
      </c>
      <c r="H701" s="8">
        <v>1.1499999999999999</v>
      </c>
      <c r="I701" s="4">
        <v>0</v>
      </c>
    </row>
    <row r="702" spans="1:9" x14ac:dyDescent="0.2">
      <c r="A702" s="2">
        <v>4</v>
      </c>
      <c r="B702" s="1" t="s">
        <v>170</v>
      </c>
      <c r="C702" s="4">
        <v>68</v>
      </c>
      <c r="D702" s="8">
        <v>2.33</v>
      </c>
      <c r="E702" s="4">
        <v>64</v>
      </c>
      <c r="F702" s="8">
        <v>7.01</v>
      </c>
      <c r="G702" s="4">
        <v>4</v>
      </c>
      <c r="H702" s="8">
        <v>0.2</v>
      </c>
      <c r="I702" s="4">
        <v>0</v>
      </c>
    </row>
    <row r="703" spans="1:9" x14ac:dyDescent="0.2">
      <c r="A703" s="2">
        <v>4</v>
      </c>
      <c r="B703" s="1" t="s">
        <v>174</v>
      </c>
      <c r="C703" s="4">
        <v>68</v>
      </c>
      <c r="D703" s="8">
        <v>2.33</v>
      </c>
      <c r="E703" s="4">
        <v>50</v>
      </c>
      <c r="F703" s="8">
        <v>5.48</v>
      </c>
      <c r="G703" s="4">
        <v>18</v>
      </c>
      <c r="H703" s="8">
        <v>0.9</v>
      </c>
      <c r="I703" s="4">
        <v>0</v>
      </c>
    </row>
    <row r="704" spans="1:9" x14ac:dyDescent="0.2">
      <c r="A704" s="2">
        <v>6</v>
      </c>
      <c r="B704" s="1" t="s">
        <v>172</v>
      </c>
      <c r="C704" s="4">
        <v>62</v>
      </c>
      <c r="D704" s="8">
        <v>2.13</v>
      </c>
      <c r="E704" s="4">
        <v>58</v>
      </c>
      <c r="F704" s="8">
        <v>6.35</v>
      </c>
      <c r="G704" s="4">
        <v>4</v>
      </c>
      <c r="H704" s="8">
        <v>0.2</v>
      </c>
      <c r="I704" s="4">
        <v>0</v>
      </c>
    </row>
    <row r="705" spans="1:9" x14ac:dyDescent="0.2">
      <c r="A705" s="2">
        <v>7</v>
      </c>
      <c r="B705" s="1" t="s">
        <v>175</v>
      </c>
      <c r="C705" s="4">
        <v>54</v>
      </c>
      <c r="D705" s="8">
        <v>1.85</v>
      </c>
      <c r="E705" s="4">
        <v>44</v>
      </c>
      <c r="F705" s="8">
        <v>4.82</v>
      </c>
      <c r="G705" s="4">
        <v>10</v>
      </c>
      <c r="H705" s="8">
        <v>0.5</v>
      </c>
      <c r="I705" s="4">
        <v>0</v>
      </c>
    </row>
    <row r="706" spans="1:9" x14ac:dyDescent="0.2">
      <c r="A706" s="2">
        <v>8</v>
      </c>
      <c r="B706" s="1" t="s">
        <v>208</v>
      </c>
      <c r="C706" s="4">
        <v>50</v>
      </c>
      <c r="D706" s="8">
        <v>1.71</v>
      </c>
      <c r="E706" s="4">
        <v>7</v>
      </c>
      <c r="F706" s="8">
        <v>0.77</v>
      </c>
      <c r="G706" s="4">
        <v>43</v>
      </c>
      <c r="H706" s="8">
        <v>2.15</v>
      </c>
      <c r="I706" s="4">
        <v>0</v>
      </c>
    </row>
    <row r="707" spans="1:9" x14ac:dyDescent="0.2">
      <c r="A707" s="2">
        <v>8</v>
      </c>
      <c r="B707" s="1" t="s">
        <v>168</v>
      </c>
      <c r="C707" s="4">
        <v>50</v>
      </c>
      <c r="D707" s="8">
        <v>1.71</v>
      </c>
      <c r="E707" s="4">
        <v>2</v>
      </c>
      <c r="F707" s="8">
        <v>0.22</v>
      </c>
      <c r="G707" s="4">
        <v>48</v>
      </c>
      <c r="H707" s="8">
        <v>2.4</v>
      </c>
      <c r="I707" s="4">
        <v>0</v>
      </c>
    </row>
    <row r="708" spans="1:9" x14ac:dyDescent="0.2">
      <c r="A708" s="2">
        <v>10</v>
      </c>
      <c r="B708" s="1" t="s">
        <v>197</v>
      </c>
      <c r="C708" s="4">
        <v>47</v>
      </c>
      <c r="D708" s="8">
        <v>1.61</v>
      </c>
      <c r="E708" s="4">
        <v>9</v>
      </c>
      <c r="F708" s="8">
        <v>0.99</v>
      </c>
      <c r="G708" s="4">
        <v>38</v>
      </c>
      <c r="H708" s="8">
        <v>1.9</v>
      </c>
      <c r="I708" s="4">
        <v>0</v>
      </c>
    </row>
    <row r="709" spans="1:9" x14ac:dyDescent="0.2">
      <c r="A709" s="2">
        <v>11</v>
      </c>
      <c r="B709" s="1" t="s">
        <v>161</v>
      </c>
      <c r="C709" s="4">
        <v>45</v>
      </c>
      <c r="D709" s="8">
        <v>1.54</v>
      </c>
      <c r="E709" s="4">
        <v>6</v>
      </c>
      <c r="F709" s="8">
        <v>0.66</v>
      </c>
      <c r="G709" s="4">
        <v>39</v>
      </c>
      <c r="H709" s="8">
        <v>1.95</v>
      </c>
      <c r="I709" s="4">
        <v>0</v>
      </c>
    </row>
    <row r="710" spans="1:9" x14ac:dyDescent="0.2">
      <c r="A710" s="2">
        <v>12</v>
      </c>
      <c r="B710" s="1" t="s">
        <v>169</v>
      </c>
      <c r="C710" s="4">
        <v>44</v>
      </c>
      <c r="D710" s="8">
        <v>1.51</v>
      </c>
      <c r="E710" s="4">
        <v>29</v>
      </c>
      <c r="F710" s="8">
        <v>3.18</v>
      </c>
      <c r="G710" s="4">
        <v>15</v>
      </c>
      <c r="H710" s="8">
        <v>0.75</v>
      </c>
      <c r="I710" s="4">
        <v>0</v>
      </c>
    </row>
    <row r="711" spans="1:9" x14ac:dyDescent="0.2">
      <c r="A711" s="2">
        <v>13</v>
      </c>
      <c r="B711" s="1" t="s">
        <v>158</v>
      </c>
      <c r="C711" s="4">
        <v>40</v>
      </c>
      <c r="D711" s="8">
        <v>1.37</v>
      </c>
      <c r="E711" s="4">
        <v>1</v>
      </c>
      <c r="F711" s="8">
        <v>0.11</v>
      </c>
      <c r="G711" s="4">
        <v>39</v>
      </c>
      <c r="H711" s="8">
        <v>1.95</v>
      </c>
      <c r="I711" s="4">
        <v>0</v>
      </c>
    </row>
    <row r="712" spans="1:9" x14ac:dyDescent="0.2">
      <c r="A712" s="2">
        <v>13</v>
      </c>
      <c r="B712" s="1" t="s">
        <v>163</v>
      </c>
      <c r="C712" s="4">
        <v>40</v>
      </c>
      <c r="D712" s="8">
        <v>1.37</v>
      </c>
      <c r="E712" s="4">
        <v>13</v>
      </c>
      <c r="F712" s="8">
        <v>1.42</v>
      </c>
      <c r="G712" s="4">
        <v>27</v>
      </c>
      <c r="H712" s="8">
        <v>1.35</v>
      </c>
      <c r="I712" s="4">
        <v>0</v>
      </c>
    </row>
    <row r="713" spans="1:9" x14ac:dyDescent="0.2">
      <c r="A713" s="2">
        <v>15</v>
      </c>
      <c r="B713" s="1" t="s">
        <v>171</v>
      </c>
      <c r="C713" s="4">
        <v>38</v>
      </c>
      <c r="D713" s="8">
        <v>1.3</v>
      </c>
      <c r="E713" s="4">
        <v>19</v>
      </c>
      <c r="F713" s="8">
        <v>2.08</v>
      </c>
      <c r="G713" s="4">
        <v>19</v>
      </c>
      <c r="H713" s="8">
        <v>0.95</v>
      </c>
      <c r="I713" s="4">
        <v>0</v>
      </c>
    </row>
    <row r="714" spans="1:9" x14ac:dyDescent="0.2">
      <c r="A714" s="2">
        <v>16</v>
      </c>
      <c r="B714" s="1" t="s">
        <v>165</v>
      </c>
      <c r="C714" s="4">
        <v>36</v>
      </c>
      <c r="D714" s="8">
        <v>1.23</v>
      </c>
      <c r="E714" s="4">
        <v>3</v>
      </c>
      <c r="F714" s="8">
        <v>0.33</v>
      </c>
      <c r="G714" s="4">
        <v>33</v>
      </c>
      <c r="H714" s="8">
        <v>1.65</v>
      </c>
      <c r="I714" s="4">
        <v>0</v>
      </c>
    </row>
    <row r="715" spans="1:9" x14ac:dyDescent="0.2">
      <c r="A715" s="2">
        <v>16</v>
      </c>
      <c r="B715" s="1" t="s">
        <v>176</v>
      </c>
      <c r="C715" s="4">
        <v>36</v>
      </c>
      <c r="D715" s="8">
        <v>1.23</v>
      </c>
      <c r="E715" s="4">
        <v>16</v>
      </c>
      <c r="F715" s="8">
        <v>1.75</v>
      </c>
      <c r="G715" s="4">
        <v>20</v>
      </c>
      <c r="H715" s="8">
        <v>1</v>
      </c>
      <c r="I715" s="4">
        <v>0</v>
      </c>
    </row>
    <row r="716" spans="1:9" x14ac:dyDescent="0.2">
      <c r="A716" s="2">
        <v>18</v>
      </c>
      <c r="B716" s="1" t="s">
        <v>177</v>
      </c>
      <c r="C716" s="4">
        <v>35</v>
      </c>
      <c r="D716" s="8">
        <v>1.2</v>
      </c>
      <c r="E716" s="4">
        <v>3</v>
      </c>
      <c r="F716" s="8">
        <v>0.33</v>
      </c>
      <c r="G716" s="4">
        <v>32</v>
      </c>
      <c r="H716" s="8">
        <v>1.6</v>
      </c>
      <c r="I716" s="4">
        <v>0</v>
      </c>
    </row>
    <row r="717" spans="1:9" x14ac:dyDescent="0.2">
      <c r="A717" s="2">
        <v>18</v>
      </c>
      <c r="B717" s="1" t="s">
        <v>200</v>
      </c>
      <c r="C717" s="4">
        <v>35</v>
      </c>
      <c r="D717" s="8">
        <v>1.2</v>
      </c>
      <c r="E717" s="4">
        <v>5</v>
      </c>
      <c r="F717" s="8">
        <v>0.55000000000000004</v>
      </c>
      <c r="G717" s="4">
        <v>30</v>
      </c>
      <c r="H717" s="8">
        <v>1.5</v>
      </c>
      <c r="I717" s="4">
        <v>0</v>
      </c>
    </row>
    <row r="718" spans="1:9" x14ac:dyDescent="0.2">
      <c r="A718" s="2">
        <v>18</v>
      </c>
      <c r="B718" s="1" t="s">
        <v>179</v>
      </c>
      <c r="C718" s="4">
        <v>35</v>
      </c>
      <c r="D718" s="8">
        <v>1.2</v>
      </c>
      <c r="E718" s="4">
        <v>22</v>
      </c>
      <c r="F718" s="8">
        <v>2.41</v>
      </c>
      <c r="G718" s="4">
        <v>13</v>
      </c>
      <c r="H718" s="8">
        <v>0.65</v>
      </c>
      <c r="I718" s="4">
        <v>0</v>
      </c>
    </row>
    <row r="719" spans="1:9" x14ac:dyDescent="0.2">
      <c r="A719" s="1"/>
      <c r="C719" s="4"/>
      <c r="D719" s="8"/>
      <c r="E719" s="4"/>
      <c r="F719" s="8"/>
      <c r="G719" s="4"/>
      <c r="H719" s="8"/>
      <c r="I719" s="4"/>
    </row>
    <row r="720" spans="1:9" x14ac:dyDescent="0.2">
      <c r="A720" s="1" t="s">
        <v>32</v>
      </c>
      <c r="C720" s="4"/>
      <c r="D720" s="8"/>
      <c r="E720" s="4"/>
      <c r="F720" s="8"/>
      <c r="G720" s="4"/>
      <c r="H720" s="8"/>
      <c r="I720" s="4"/>
    </row>
    <row r="721" spans="1:9" x14ac:dyDescent="0.2">
      <c r="A721" s="2">
        <v>1</v>
      </c>
      <c r="B721" s="1" t="s">
        <v>173</v>
      </c>
      <c r="C721" s="4">
        <v>134</v>
      </c>
      <c r="D721" s="8">
        <v>4.8099999999999996</v>
      </c>
      <c r="E721" s="4">
        <v>118</v>
      </c>
      <c r="F721" s="8">
        <v>9.6999999999999993</v>
      </c>
      <c r="G721" s="4">
        <v>16</v>
      </c>
      <c r="H721" s="8">
        <v>1.03</v>
      </c>
      <c r="I721" s="4">
        <v>0</v>
      </c>
    </row>
    <row r="722" spans="1:9" x14ac:dyDescent="0.2">
      <c r="A722" s="2">
        <v>2</v>
      </c>
      <c r="B722" s="1" t="s">
        <v>162</v>
      </c>
      <c r="C722" s="4">
        <v>81</v>
      </c>
      <c r="D722" s="8">
        <v>2.91</v>
      </c>
      <c r="E722" s="4">
        <v>51</v>
      </c>
      <c r="F722" s="8">
        <v>4.1900000000000004</v>
      </c>
      <c r="G722" s="4">
        <v>30</v>
      </c>
      <c r="H722" s="8">
        <v>1.93</v>
      </c>
      <c r="I722" s="4">
        <v>0</v>
      </c>
    </row>
    <row r="723" spans="1:9" x14ac:dyDescent="0.2">
      <c r="A723" s="2">
        <v>3</v>
      </c>
      <c r="B723" s="1" t="s">
        <v>172</v>
      </c>
      <c r="C723" s="4">
        <v>78</v>
      </c>
      <c r="D723" s="8">
        <v>2.8</v>
      </c>
      <c r="E723" s="4">
        <v>70</v>
      </c>
      <c r="F723" s="8">
        <v>5.76</v>
      </c>
      <c r="G723" s="4">
        <v>8</v>
      </c>
      <c r="H723" s="8">
        <v>0.51</v>
      </c>
      <c r="I723" s="4">
        <v>0</v>
      </c>
    </row>
    <row r="724" spans="1:9" x14ac:dyDescent="0.2">
      <c r="A724" s="2">
        <v>3</v>
      </c>
      <c r="B724" s="1" t="s">
        <v>175</v>
      </c>
      <c r="C724" s="4">
        <v>78</v>
      </c>
      <c r="D724" s="8">
        <v>2.8</v>
      </c>
      <c r="E724" s="4">
        <v>64</v>
      </c>
      <c r="F724" s="8">
        <v>5.26</v>
      </c>
      <c r="G724" s="4">
        <v>14</v>
      </c>
      <c r="H724" s="8">
        <v>0.9</v>
      </c>
      <c r="I724" s="4">
        <v>0</v>
      </c>
    </row>
    <row r="725" spans="1:9" x14ac:dyDescent="0.2">
      <c r="A725" s="2">
        <v>5</v>
      </c>
      <c r="B725" s="1" t="s">
        <v>174</v>
      </c>
      <c r="C725" s="4">
        <v>75</v>
      </c>
      <c r="D725" s="8">
        <v>2.69</v>
      </c>
      <c r="E725" s="4">
        <v>57</v>
      </c>
      <c r="F725" s="8">
        <v>4.6900000000000004</v>
      </c>
      <c r="G725" s="4">
        <v>18</v>
      </c>
      <c r="H725" s="8">
        <v>1.1599999999999999</v>
      </c>
      <c r="I725" s="4">
        <v>0</v>
      </c>
    </row>
    <row r="726" spans="1:9" x14ac:dyDescent="0.2">
      <c r="A726" s="2">
        <v>6</v>
      </c>
      <c r="B726" s="1" t="s">
        <v>167</v>
      </c>
      <c r="C726" s="4">
        <v>67</v>
      </c>
      <c r="D726" s="8">
        <v>2.4</v>
      </c>
      <c r="E726" s="4">
        <v>32</v>
      </c>
      <c r="F726" s="8">
        <v>2.63</v>
      </c>
      <c r="G726" s="4">
        <v>35</v>
      </c>
      <c r="H726" s="8">
        <v>2.25</v>
      </c>
      <c r="I726" s="4">
        <v>0</v>
      </c>
    </row>
    <row r="727" spans="1:9" x14ac:dyDescent="0.2">
      <c r="A727" s="2">
        <v>7</v>
      </c>
      <c r="B727" s="1" t="s">
        <v>159</v>
      </c>
      <c r="C727" s="4">
        <v>66</v>
      </c>
      <c r="D727" s="8">
        <v>2.37</v>
      </c>
      <c r="E727" s="4">
        <v>28</v>
      </c>
      <c r="F727" s="8">
        <v>2.2999999999999998</v>
      </c>
      <c r="G727" s="4">
        <v>38</v>
      </c>
      <c r="H727" s="8">
        <v>2.4500000000000002</v>
      </c>
      <c r="I727" s="4">
        <v>0</v>
      </c>
    </row>
    <row r="728" spans="1:9" x14ac:dyDescent="0.2">
      <c r="A728" s="2">
        <v>8</v>
      </c>
      <c r="B728" s="1" t="s">
        <v>163</v>
      </c>
      <c r="C728" s="4">
        <v>64</v>
      </c>
      <c r="D728" s="8">
        <v>2.2999999999999998</v>
      </c>
      <c r="E728" s="4">
        <v>20</v>
      </c>
      <c r="F728" s="8">
        <v>1.64</v>
      </c>
      <c r="G728" s="4">
        <v>44</v>
      </c>
      <c r="H728" s="8">
        <v>2.83</v>
      </c>
      <c r="I728" s="4">
        <v>0</v>
      </c>
    </row>
    <row r="729" spans="1:9" x14ac:dyDescent="0.2">
      <c r="A729" s="2">
        <v>8</v>
      </c>
      <c r="B729" s="1" t="s">
        <v>170</v>
      </c>
      <c r="C729" s="4">
        <v>64</v>
      </c>
      <c r="D729" s="8">
        <v>2.2999999999999998</v>
      </c>
      <c r="E729" s="4">
        <v>53</v>
      </c>
      <c r="F729" s="8">
        <v>4.3600000000000003</v>
      </c>
      <c r="G729" s="4">
        <v>11</v>
      </c>
      <c r="H729" s="8">
        <v>0.71</v>
      </c>
      <c r="I729" s="4">
        <v>0</v>
      </c>
    </row>
    <row r="730" spans="1:9" x14ac:dyDescent="0.2">
      <c r="A730" s="2">
        <v>10</v>
      </c>
      <c r="B730" s="1" t="s">
        <v>169</v>
      </c>
      <c r="C730" s="4">
        <v>60</v>
      </c>
      <c r="D730" s="8">
        <v>2.15</v>
      </c>
      <c r="E730" s="4">
        <v>50</v>
      </c>
      <c r="F730" s="8">
        <v>4.1100000000000003</v>
      </c>
      <c r="G730" s="4">
        <v>10</v>
      </c>
      <c r="H730" s="8">
        <v>0.64</v>
      </c>
      <c r="I730" s="4">
        <v>0</v>
      </c>
    </row>
    <row r="731" spans="1:9" x14ac:dyDescent="0.2">
      <c r="A731" s="2">
        <v>11</v>
      </c>
      <c r="B731" s="1" t="s">
        <v>166</v>
      </c>
      <c r="C731" s="4">
        <v>57</v>
      </c>
      <c r="D731" s="8">
        <v>2.0499999999999998</v>
      </c>
      <c r="E731" s="4">
        <v>3</v>
      </c>
      <c r="F731" s="8">
        <v>0.25</v>
      </c>
      <c r="G731" s="4">
        <v>54</v>
      </c>
      <c r="H731" s="8">
        <v>3.47</v>
      </c>
      <c r="I731" s="4">
        <v>0</v>
      </c>
    </row>
    <row r="732" spans="1:9" x14ac:dyDescent="0.2">
      <c r="A732" s="2">
        <v>12</v>
      </c>
      <c r="B732" s="1" t="s">
        <v>157</v>
      </c>
      <c r="C732" s="4">
        <v>46</v>
      </c>
      <c r="D732" s="8">
        <v>1.65</v>
      </c>
      <c r="E732" s="4">
        <v>6</v>
      </c>
      <c r="F732" s="8">
        <v>0.49</v>
      </c>
      <c r="G732" s="4">
        <v>40</v>
      </c>
      <c r="H732" s="8">
        <v>2.57</v>
      </c>
      <c r="I732" s="4">
        <v>0</v>
      </c>
    </row>
    <row r="733" spans="1:9" x14ac:dyDescent="0.2">
      <c r="A733" s="2">
        <v>12</v>
      </c>
      <c r="B733" s="1" t="s">
        <v>164</v>
      </c>
      <c r="C733" s="4">
        <v>46</v>
      </c>
      <c r="D733" s="8">
        <v>1.65</v>
      </c>
      <c r="E733" s="4">
        <v>24</v>
      </c>
      <c r="F733" s="8">
        <v>1.97</v>
      </c>
      <c r="G733" s="4">
        <v>21</v>
      </c>
      <c r="H733" s="8">
        <v>1.35</v>
      </c>
      <c r="I733" s="4">
        <v>1</v>
      </c>
    </row>
    <row r="734" spans="1:9" x14ac:dyDescent="0.2">
      <c r="A734" s="2">
        <v>14</v>
      </c>
      <c r="B734" s="1" t="s">
        <v>160</v>
      </c>
      <c r="C734" s="4">
        <v>45</v>
      </c>
      <c r="D734" s="8">
        <v>1.61</v>
      </c>
      <c r="E734" s="4">
        <v>12</v>
      </c>
      <c r="F734" s="8">
        <v>0.99</v>
      </c>
      <c r="G734" s="4">
        <v>33</v>
      </c>
      <c r="H734" s="8">
        <v>2.12</v>
      </c>
      <c r="I734" s="4">
        <v>0</v>
      </c>
    </row>
    <row r="735" spans="1:9" x14ac:dyDescent="0.2">
      <c r="A735" s="2">
        <v>14</v>
      </c>
      <c r="B735" s="1" t="s">
        <v>161</v>
      </c>
      <c r="C735" s="4">
        <v>45</v>
      </c>
      <c r="D735" s="8">
        <v>1.61</v>
      </c>
      <c r="E735" s="4">
        <v>8</v>
      </c>
      <c r="F735" s="8">
        <v>0.66</v>
      </c>
      <c r="G735" s="4">
        <v>37</v>
      </c>
      <c r="H735" s="8">
        <v>2.38</v>
      </c>
      <c r="I735" s="4">
        <v>0</v>
      </c>
    </row>
    <row r="736" spans="1:9" x14ac:dyDescent="0.2">
      <c r="A736" s="2">
        <v>16</v>
      </c>
      <c r="B736" s="1" t="s">
        <v>158</v>
      </c>
      <c r="C736" s="4">
        <v>43</v>
      </c>
      <c r="D736" s="8">
        <v>1.54</v>
      </c>
      <c r="E736" s="4">
        <v>6</v>
      </c>
      <c r="F736" s="8">
        <v>0.49</v>
      </c>
      <c r="G736" s="4">
        <v>37</v>
      </c>
      <c r="H736" s="8">
        <v>2.38</v>
      </c>
      <c r="I736" s="4">
        <v>0</v>
      </c>
    </row>
    <row r="737" spans="1:9" x14ac:dyDescent="0.2">
      <c r="A737" s="2">
        <v>17</v>
      </c>
      <c r="B737" s="1" t="s">
        <v>171</v>
      </c>
      <c r="C737" s="4">
        <v>42</v>
      </c>
      <c r="D737" s="8">
        <v>1.51</v>
      </c>
      <c r="E737" s="4">
        <v>27</v>
      </c>
      <c r="F737" s="8">
        <v>2.2200000000000002</v>
      </c>
      <c r="G737" s="4">
        <v>15</v>
      </c>
      <c r="H737" s="8">
        <v>0.97</v>
      </c>
      <c r="I737" s="4">
        <v>0</v>
      </c>
    </row>
    <row r="738" spans="1:9" x14ac:dyDescent="0.2">
      <c r="A738" s="2">
        <v>17</v>
      </c>
      <c r="B738" s="1" t="s">
        <v>179</v>
      </c>
      <c r="C738" s="4">
        <v>42</v>
      </c>
      <c r="D738" s="8">
        <v>1.51</v>
      </c>
      <c r="E738" s="4">
        <v>30</v>
      </c>
      <c r="F738" s="8">
        <v>2.4700000000000002</v>
      </c>
      <c r="G738" s="4">
        <v>12</v>
      </c>
      <c r="H738" s="8">
        <v>0.77</v>
      </c>
      <c r="I738" s="4">
        <v>0</v>
      </c>
    </row>
    <row r="739" spans="1:9" x14ac:dyDescent="0.2">
      <c r="A739" s="2">
        <v>19</v>
      </c>
      <c r="B739" s="1" t="s">
        <v>191</v>
      </c>
      <c r="C739" s="4">
        <v>40</v>
      </c>
      <c r="D739" s="8">
        <v>1.44</v>
      </c>
      <c r="E739" s="4">
        <v>39</v>
      </c>
      <c r="F739" s="8">
        <v>3.21</v>
      </c>
      <c r="G739" s="4">
        <v>1</v>
      </c>
      <c r="H739" s="8">
        <v>0.06</v>
      </c>
      <c r="I739" s="4">
        <v>0</v>
      </c>
    </row>
    <row r="740" spans="1:9" x14ac:dyDescent="0.2">
      <c r="A740" s="2">
        <v>20</v>
      </c>
      <c r="B740" s="1" t="s">
        <v>182</v>
      </c>
      <c r="C740" s="4">
        <v>35</v>
      </c>
      <c r="D740" s="8">
        <v>1.26</v>
      </c>
      <c r="E740" s="4">
        <v>7</v>
      </c>
      <c r="F740" s="8">
        <v>0.57999999999999996</v>
      </c>
      <c r="G740" s="4">
        <v>28</v>
      </c>
      <c r="H740" s="8">
        <v>1.8</v>
      </c>
      <c r="I740" s="4">
        <v>0</v>
      </c>
    </row>
    <row r="741" spans="1:9" x14ac:dyDescent="0.2">
      <c r="A741" s="2">
        <v>20</v>
      </c>
      <c r="B741" s="1" t="s">
        <v>178</v>
      </c>
      <c r="C741" s="4">
        <v>35</v>
      </c>
      <c r="D741" s="8">
        <v>1.26</v>
      </c>
      <c r="E741" s="4">
        <v>12</v>
      </c>
      <c r="F741" s="8">
        <v>0.99</v>
      </c>
      <c r="G741" s="4">
        <v>23</v>
      </c>
      <c r="H741" s="8">
        <v>1.48</v>
      </c>
      <c r="I741" s="4">
        <v>0</v>
      </c>
    </row>
    <row r="742" spans="1:9" x14ac:dyDescent="0.2">
      <c r="A742" s="1"/>
      <c r="C742" s="4"/>
      <c r="D742" s="8"/>
      <c r="E742" s="4"/>
      <c r="F742" s="8"/>
      <c r="G742" s="4"/>
      <c r="H742" s="8"/>
      <c r="I742" s="4"/>
    </row>
    <row r="743" spans="1:9" x14ac:dyDescent="0.2">
      <c r="A743" s="1" t="s">
        <v>33</v>
      </c>
      <c r="C743" s="4"/>
      <c r="D743" s="8"/>
      <c r="E743" s="4"/>
      <c r="F743" s="8"/>
      <c r="G743" s="4"/>
      <c r="H743" s="8"/>
      <c r="I743" s="4"/>
    </row>
    <row r="744" spans="1:9" x14ac:dyDescent="0.2">
      <c r="A744" s="2">
        <v>1</v>
      </c>
      <c r="B744" s="1" t="s">
        <v>167</v>
      </c>
      <c r="C744" s="4">
        <v>95</v>
      </c>
      <c r="D744" s="8">
        <v>4.6900000000000004</v>
      </c>
      <c r="E744" s="4">
        <v>4</v>
      </c>
      <c r="F744" s="8">
        <v>0.61</v>
      </c>
      <c r="G744" s="4">
        <v>91</v>
      </c>
      <c r="H744" s="8">
        <v>6.67</v>
      </c>
      <c r="I744" s="4">
        <v>0</v>
      </c>
    </row>
    <row r="745" spans="1:9" x14ac:dyDescent="0.2">
      <c r="A745" s="2">
        <v>2</v>
      </c>
      <c r="B745" s="1" t="s">
        <v>173</v>
      </c>
      <c r="C745" s="4">
        <v>80</v>
      </c>
      <c r="D745" s="8">
        <v>3.95</v>
      </c>
      <c r="E745" s="4">
        <v>66</v>
      </c>
      <c r="F745" s="8">
        <v>10.050000000000001</v>
      </c>
      <c r="G745" s="4">
        <v>14</v>
      </c>
      <c r="H745" s="8">
        <v>1.03</v>
      </c>
      <c r="I745" s="4">
        <v>0</v>
      </c>
    </row>
    <row r="746" spans="1:9" x14ac:dyDescent="0.2">
      <c r="A746" s="2">
        <v>3</v>
      </c>
      <c r="B746" s="1" t="s">
        <v>170</v>
      </c>
      <c r="C746" s="4">
        <v>59</v>
      </c>
      <c r="D746" s="8">
        <v>2.91</v>
      </c>
      <c r="E746" s="4">
        <v>45</v>
      </c>
      <c r="F746" s="8">
        <v>6.85</v>
      </c>
      <c r="G746" s="4">
        <v>14</v>
      </c>
      <c r="H746" s="8">
        <v>1.03</v>
      </c>
      <c r="I746" s="4">
        <v>0</v>
      </c>
    </row>
    <row r="747" spans="1:9" x14ac:dyDescent="0.2">
      <c r="A747" s="2">
        <v>4</v>
      </c>
      <c r="B747" s="1" t="s">
        <v>166</v>
      </c>
      <c r="C747" s="4">
        <v>56</v>
      </c>
      <c r="D747" s="8">
        <v>2.77</v>
      </c>
      <c r="E747" s="4">
        <v>0</v>
      </c>
      <c r="F747" s="8">
        <v>0</v>
      </c>
      <c r="G747" s="4">
        <v>56</v>
      </c>
      <c r="H747" s="8">
        <v>4.0999999999999996</v>
      </c>
      <c r="I747" s="4">
        <v>0</v>
      </c>
    </row>
    <row r="748" spans="1:9" x14ac:dyDescent="0.2">
      <c r="A748" s="2">
        <v>4</v>
      </c>
      <c r="B748" s="1" t="s">
        <v>174</v>
      </c>
      <c r="C748" s="4">
        <v>56</v>
      </c>
      <c r="D748" s="8">
        <v>2.77</v>
      </c>
      <c r="E748" s="4">
        <v>39</v>
      </c>
      <c r="F748" s="8">
        <v>5.94</v>
      </c>
      <c r="G748" s="4">
        <v>17</v>
      </c>
      <c r="H748" s="8">
        <v>1.25</v>
      </c>
      <c r="I748" s="4">
        <v>0</v>
      </c>
    </row>
    <row r="749" spans="1:9" x14ac:dyDescent="0.2">
      <c r="A749" s="2">
        <v>6</v>
      </c>
      <c r="B749" s="1" t="s">
        <v>175</v>
      </c>
      <c r="C749" s="4">
        <v>53</v>
      </c>
      <c r="D749" s="8">
        <v>2.62</v>
      </c>
      <c r="E749" s="4">
        <v>42</v>
      </c>
      <c r="F749" s="8">
        <v>6.39</v>
      </c>
      <c r="G749" s="4">
        <v>11</v>
      </c>
      <c r="H749" s="8">
        <v>0.81</v>
      </c>
      <c r="I749" s="4">
        <v>0</v>
      </c>
    </row>
    <row r="750" spans="1:9" x14ac:dyDescent="0.2">
      <c r="A750" s="2">
        <v>7</v>
      </c>
      <c r="B750" s="1" t="s">
        <v>168</v>
      </c>
      <c r="C750" s="4">
        <v>52</v>
      </c>
      <c r="D750" s="8">
        <v>2.57</v>
      </c>
      <c r="E750" s="4">
        <v>1</v>
      </c>
      <c r="F750" s="8">
        <v>0.15</v>
      </c>
      <c r="G750" s="4">
        <v>50</v>
      </c>
      <c r="H750" s="8">
        <v>3.66</v>
      </c>
      <c r="I750" s="4">
        <v>0</v>
      </c>
    </row>
    <row r="751" spans="1:9" x14ac:dyDescent="0.2">
      <c r="A751" s="2">
        <v>8</v>
      </c>
      <c r="B751" s="1" t="s">
        <v>169</v>
      </c>
      <c r="C751" s="4">
        <v>46</v>
      </c>
      <c r="D751" s="8">
        <v>2.27</v>
      </c>
      <c r="E751" s="4">
        <v>38</v>
      </c>
      <c r="F751" s="8">
        <v>5.78</v>
      </c>
      <c r="G751" s="4">
        <v>8</v>
      </c>
      <c r="H751" s="8">
        <v>0.59</v>
      </c>
      <c r="I751" s="4">
        <v>0</v>
      </c>
    </row>
    <row r="752" spans="1:9" x14ac:dyDescent="0.2">
      <c r="A752" s="2">
        <v>9</v>
      </c>
      <c r="B752" s="1" t="s">
        <v>172</v>
      </c>
      <c r="C752" s="4">
        <v>45</v>
      </c>
      <c r="D752" s="8">
        <v>2.2200000000000002</v>
      </c>
      <c r="E752" s="4">
        <v>43</v>
      </c>
      <c r="F752" s="8">
        <v>6.54</v>
      </c>
      <c r="G752" s="4">
        <v>2</v>
      </c>
      <c r="H752" s="8">
        <v>0.15</v>
      </c>
      <c r="I752" s="4">
        <v>0</v>
      </c>
    </row>
    <row r="753" spans="1:9" x14ac:dyDescent="0.2">
      <c r="A753" s="2">
        <v>10</v>
      </c>
      <c r="B753" s="1" t="s">
        <v>161</v>
      </c>
      <c r="C753" s="4">
        <v>44</v>
      </c>
      <c r="D753" s="8">
        <v>2.17</v>
      </c>
      <c r="E753" s="4">
        <v>4</v>
      </c>
      <c r="F753" s="8">
        <v>0.61</v>
      </c>
      <c r="G753" s="4">
        <v>40</v>
      </c>
      <c r="H753" s="8">
        <v>2.93</v>
      </c>
      <c r="I753" s="4">
        <v>0</v>
      </c>
    </row>
    <row r="754" spans="1:9" x14ac:dyDescent="0.2">
      <c r="A754" s="2">
        <v>11</v>
      </c>
      <c r="B754" s="1" t="s">
        <v>160</v>
      </c>
      <c r="C754" s="4">
        <v>42</v>
      </c>
      <c r="D754" s="8">
        <v>2.0699999999999998</v>
      </c>
      <c r="E754" s="4">
        <v>5</v>
      </c>
      <c r="F754" s="8">
        <v>0.76</v>
      </c>
      <c r="G754" s="4">
        <v>37</v>
      </c>
      <c r="H754" s="8">
        <v>2.71</v>
      </c>
      <c r="I754" s="4">
        <v>0</v>
      </c>
    </row>
    <row r="755" spans="1:9" x14ac:dyDescent="0.2">
      <c r="A755" s="2">
        <v>12</v>
      </c>
      <c r="B755" s="1" t="s">
        <v>182</v>
      </c>
      <c r="C755" s="4">
        <v>40</v>
      </c>
      <c r="D755" s="8">
        <v>1.98</v>
      </c>
      <c r="E755" s="4">
        <v>5</v>
      </c>
      <c r="F755" s="8">
        <v>0.76</v>
      </c>
      <c r="G755" s="4">
        <v>35</v>
      </c>
      <c r="H755" s="8">
        <v>2.56</v>
      </c>
      <c r="I755" s="4">
        <v>0</v>
      </c>
    </row>
    <row r="756" spans="1:9" x14ac:dyDescent="0.2">
      <c r="A756" s="2">
        <v>13</v>
      </c>
      <c r="B756" s="1" t="s">
        <v>197</v>
      </c>
      <c r="C756" s="4">
        <v>39</v>
      </c>
      <c r="D756" s="8">
        <v>1.93</v>
      </c>
      <c r="E756" s="4">
        <v>5</v>
      </c>
      <c r="F756" s="8">
        <v>0.76</v>
      </c>
      <c r="G756" s="4">
        <v>34</v>
      </c>
      <c r="H756" s="8">
        <v>2.4900000000000002</v>
      </c>
      <c r="I756" s="4">
        <v>0</v>
      </c>
    </row>
    <row r="757" spans="1:9" x14ac:dyDescent="0.2">
      <c r="A757" s="2">
        <v>14</v>
      </c>
      <c r="B757" s="1" t="s">
        <v>177</v>
      </c>
      <c r="C757" s="4">
        <v>38</v>
      </c>
      <c r="D757" s="8">
        <v>1.88</v>
      </c>
      <c r="E757" s="4">
        <v>4</v>
      </c>
      <c r="F757" s="8">
        <v>0.61</v>
      </c>
      <c r="G757" s="4">
        <v>34</v>
      </c>
      <c r="H757" s="8">
        <v>2.4900000000000002</v>
      </c>
      <c r="I757" s="4">
        <v>0</v>
      </c>
    </row>
    <row r="758" spans="1:9" x14ac:dyDescent="0.2">
      <c r="A758" s="2">
        <v>15</v>
      </c>
      <c r="B758" s="1" t="s">
        <v>158</v>
      </c>
      <c r="C758" s="4">
        <v>37</v>
      </c>
      <c r="D758" s="8">
        <v>1.83</v>
      </c>
      <c r="E758" s="4">
        <v>3</v>
      </c>
      <c r="F758" s="8">
        <v>0.46</v>
      </c>
      <c r="G758" s="4">
        <v>34</v>
      </c>
      <c r="H758" s="8">
        <v>2.4900000000000002</v>
      </c>
      <c r="I758" s="4">
        <v>0</v>
      </c>
    </row>
    <row r="759" spans="1:9" x14ac:dyDescent="0.2">
      <c r="A759" s="2">
        <v>16</v>
      </c>
      <c r="B759" s="1" t="s">
        <v>157</v>
      </c>
      <c r="C759" s="4">
        <v>35</v>
      </c>
      <c r="D759" s="8">
        <v>1.73</v>
      </c>
      <c r="E759" s="4">
        <v>2</v>
      </c>
      <c r="F759" s="8">
        <v>0.3</v>
      </c>
      <c r="G759" s="4">
        <v>33</v>
      </c>
      <c r="H759" s="8">
        <v>2.42</v>
      </c>
      <c r="I759" s="4">
        <v>0</v>
      </c>
    </row>
    <row r="760" spans="1:9" x14ac:dyDescent="0.2">
      <c r="A760" s="2">
        <v>17</v>
      </c>
      <c r="B760" s="1" t="s">
        <v>171</v>
      </c>
      <c r="C760" s="4">
        <v>34</v>
      </c>
      <c r="D760" s="8">
        <v>1.68</v>
      </c>
      <c r="E760" s="4">
        <v>21</v>
      </c>
      <c r="F760" s="8">
        <v>3.2</v>
      </c>
      <c r="G760" s="4">
        <v>13</v>
      </c>
      <c r="H760" s="8">
        <v>0.95</v>
      </c>
      <c r="I760" s="4">
        <v>0</v>
      </c>
    </row>
    <row r="761" spans="1:9" x14ac:dyDescent="0.2">
      <c r="A761" s="2">
        <v>18</v>
      </c>
      <c r="B761" s="1" t="s">
        <v>164</v>
      </c>
      <c r="C761" s="4">
        <v>29</v>
      </c>
      <c r="D761" s="8">
        <v>1.43</v>
      </c>
      <c r="E761" s="4">
        <v>13</v>
      </c>
      <c r="F761" s="8">
        <v>1.98</v>
      </c>
      <c r="G761" s="4">
        <v>16</v>
      </c>
      <c r="H761" s="8">
        <v>1.17</v>
      </c>
      <c r="I761" s="4">
        <v>0</v>
      </c>
    </row>
    <row r="762" spans="1:9" x14ac:dyDescent="0.2">
      <c r="A762" s="2">
        <v>19</v>
      </c>
      <c r="B762" s="1" t="s">
        <v>162</v>
      </c>
      <c r="C762" s="4">
        <v>27</v>
      </c>
      <c r="D762" s="8">
        <v>1.33</v>
      </c>
      <c r="E762" s="4">
        <v>16</v>
      </c>
      <c r="F762" s="8">
        <v>2.44</v>
      </c>
      <c r="G762" s="4">
        <v>11</v>
      </c>
      <c r="H762" s="8">
        <v>0.81</v>
      </c>
      <c r="I762" s="4">
        <v>0</v>
      </c>
    </row>
    <row r="763" spans="1:9" x14ac:dyDescent="0.2">
      <c r="A763" s="2">
        <v>19</v>
      </c>
      <c r="B763" s="1" t="s">
        <v>165</v>
      </c>
      <c r="C763" s="4">
        <v>27</v>
      </c>
      <c r="D763" s="8">
        <v>1.33</v>
      </c>
      <c r="E763" s="4">
        <v>1</v>
      </c>
      <c r="F763" s="8">
        <v>0.15</v>
      </c>
      <c r="G763" s="4">
        <v>26</v>
      </c>
      <c r="H763" s="8">
        <v>1.9</v>
      </c>
      <c r="I763" s="4">
        <v>0</v>
      </c>
    </row>
    <row r="764" spans="1:9" x14ac:dyDescent="0.2">
      <c r="A764" s="2">
        <v>19</v>
      </c>
      <c r="B764" s="1" t="s">
        <v>176</v>
      </c>
      <c r="C764" s="4">
        <v>27</v>
      </c>
      <c r="D764" s="8">
        <v>1.33</v>
      </c>
      <c r="E764" s="4">
        <v>13</v>
      </c>
      <c r="F764" s="8">
        <v>1.98</v>
      </c>
      <c r="G764" s="4">
        <v>14</v>
      </c>
      <c r="H764" s="8">
        <v>1.03</v>
      </c>
      <c r="I764" s="4">
        <v>0</v>
      </c>
    </row>
    <row r="765" spans="1:9" x14ac:dyDescent="0.2">
      <c r="A765" s="1"/>
      <c r="C765" s="4"/>
      <c r="D765" s="8"/>
      <c r="E765" s="4"/>
      <c r="F765" s="8"/>
      <c r="G765" s="4"/>
      <c r="H765" s="8"/>
      <c r="I765" s="4"/>
    </row>
    <row r="766" spans="1:9" x14ac:dyDescent="0.2">
      <c r="A766" s="1" t="s">
        <v>34</v>
      </c>
      <c r="C766" s="4"/>
      <c r="D766" s="8"/>
      <c r="E766" s="4"/>
      <c r="F766" s="8"/>
      <c r="G766" s="4"/>
      <c r="H766" s="8"/>
      <c r="I766" s="4"/>
    </row>
    <row r="767" spans="1:9" x14ac:dyDescent="0.2">
      <c r="A767" s="2">
        <v>1</v>
      </c>
      <c r="B767" s="1" t="s">
        <v>167</v>
      </c>
      <c r="C767" s="4">
        <v>92</v>
      </c>
      <c r="D767" s="8">
        <v>7.2</v>
      </c>
      <c r="E767" s="4">
        <v>51</v>
      </c>
      <c r="F767" s="8">
        <v>11.09</v>
      </c>
      <c r="G767" s="4">
        <v>41</v>
      </c>
      <c r="H767" s="8">
        <v>5.0199999999999996</v>
      </c>
      <c r="I767" s="4">
        <v>0</v>
      </c>
    </row>
    <row r="768" spans="1:9" x14ac:dyDescent="0.2">
      <c r="A768" s="2">
        <v>2</v>
      </c>
      <c r="B768" s="1" t="s">
        <v>173</v>
      </c>
      <c r="C768" s="4">
        <v>50</v>
      </c>
      <c r="D768" s="8">
        <v>3.92</v>
      </c>
      <c r="E768" s="4">
        <v>42</v>
      </c>
      <c r="F768" s="8">
        <v>9.1300000000000008</v>
      </c>
      <c r="G768" s="4">
        <v>8</v>
      </c>
      <c r="H768" s="8">
        <v>0.98</v>
      </c>
      <c r="I768" s="4">
        <v>0</v>
      </c>
    </row>
    <row r="769" spans="1:9" x14ac:dyDescent="0.2">
      <c r="A769" s="2">
        <v>3</v>
      </c>
      <c r="B769" s="1" t="s">
        <v>168</v>
      </c>
      <c r="C769" s="4">
        <v>39</v>
      </c>
      <c r="D769" s="8">
        <v>3.05</v>
      </c>
      <c r="E769" s="4">
        <v>1</v>
      </c>
      <c r="F769" s="8">
        <v>0.22</v>
      </c>
      <c r="G769" s="4">
        <v>38</v>
      </c>
      <c r="H769" s="8">
        <v>4.6500000000000004</v>
      </c>
      <c r="I769" s="4">
        <v>0</v>
      </c>
    </row>
    <row r="770" spans="1:9" x14ac:dyDescent="0.2">
      <c r="A770" s="2">
        <v>4</v>
      </c>
      <c r="B770" s="1" t="s">
        <v>166</v>
      </c>
      <c r="C770" s="4">
        <v>37</v>
      </c>
      <c r="D770" s="8">
        <v>2.9</v>
      </c>
      <c r="E770" s="4">
        <v>6</v>
      </c>
      <c r="F770" s="8">
        <v>1.3</v>
      </c>
      <c r="G770" s="4">
        <v>31</v>
      </c>
      <c r="H770" s="8">
        <v>3.79</v>
      </c>
      <c r="I770" s="4">
        <v>0</v>
      </c>
    </row>
    <row r="771" spans="1:9" x14ac:dyDescent="0.2">
      <c r="A771" s="2">
        <v>5</v>
      </c>
      <c r="B771" s="1" t="s">
        <v>175</v>
      </c>
      <c r="C771" s="4">
        <v>34</v>
      </c>
      <c r="D771" s="8">
        <v>2.66</v>
      </c>
      <c r="E771" s="4">
        <v>31</v>
      </c>
      <c r="F771" s="8">
        <v>6.74</v>
      </c>
      <c r="G771" s="4">
        <v>3</v>
      </c>
      <c r="H771" s="8">
        <v>0.37</v>
      </c>
      <c r="I771" s="4">
        <v>0</v>
      </c>
    </row>
    <row r="772" spans="1:9" x14ac:dyDescent="0.2">
      <c r="A772" s="2">
        <v>6</v>
      </c>
      <c r="B772" s="1" t="s">
        <v>172</v>
      </c>
      <c r="C772" s="4">
        <v>31</v>
      </c>
      <c r="D772" s="8">
        <v>2.4300000000000002</v>
      </c>
      <c r="E772" s="4">
        <v>29</v>
      </c>
      <c r="F772" s="8">
        <v>6.3</v>
      </c>
      <c r="G772" s="4">
        <v>2</v>
      </c>
      <c r="H772" s="8">
        <v>0.24</v>
      </c>
      <c r="I772" s="4">
        <v>0</v>
      </c>
    </row>
    <row r="773" spans="1:9" x14ac:dyDescent="0.2">
      <c r="A773" s="2">
        <v>7</v>
      </c>
      <c r="B773" s="1" t="s">
        <v>174</v>
      </c>
      <c r="C773" s="4">
        <v>30</v>
      </c>
      <c r="D773" s="8">
        <v>2.35</v>
      </c>
      <c r="E773" s="4">
        <v>24</v>
      </c>
      <c r="F773" s="8">
        <v>5.22</v>
      </c>
      <c r="G773" s="4">
        <v>6</v>
      </c>
      <c r="H773" s="8">
        <v>0.73</v>
      </c>
      <c r="I773" s="4">
        <v>0</v>
      </c>
    </row>
    <row r="774" spans="1:9" x14ac:dyDescent="0.2">
      <c r="A774" s="2">
        <v>8</v>
      </c>
      <c r="B774" s="1" t="s">
        <v>169</v>
      </c>
      <c r="C774" s="4">
        <v>29</v>
      </c>
      <c r="D774" s="8">
        <v>2.27</v>
      </c>
      <c r="E774" s="4">
        <v>19</v>
      </c>
      <c r="F774" s="8">
        <v>4.13</v>
      </c>
      <c r="G774" s="4">
        <v>10</v>
      </c>
      <c r="H774" s="8">
        <v>1.22</v>
      </c>
      <c r="I774" s="4">
        <v>0</v>
      </c>
    </row>
    <row r="775" spans="1:9" x14ac:dyDescent="0.2">
      <c r="A775" s="2">
        <v>9</v>
      </c>
      <c r="B775" s="1" t="s">
        <v>170</v>
      </c>
      <c r="C775" s="4">
        <v>24</v>
      </c>
      <c r="D775" s="8">
        <v>1.88</v>
      </c>
      <c r="E775" s="4">
        <v>21</v>
      </c>
      <c r="F775" s="8">
        <v>4.57</v>
      </c>
      <c r="G775" s="4">
        <v>3</v>
      </c>
      <c r="H775" s="8">
        <v>0.37</v>
      </c>
      <c r="I775" s="4">
        <v>0</v>
      </c>
    </row>
    <row r="776" spans="1:9" x14ac:dyDescent="0.2">
      <c r="A776" s="2">
        <v>10</v>
      </c>
      <c r="B776" s="1" t="s">
        <v>158</v>
      </c>
      <c r="C776" s="4">
        <v>21</v>
      </c>
      <c r="D776" s="8">
        <v>1.64</v>
      </c>
      <c r="E776" s="4">
        <v>1</v>
      </c>
      <c r="F776" s="8">
        <v>0.22</v>
      </c>
      <c r="G776" s="4">
        <v>20</v>
      </c>
      <c r="H776" s="8">
        <v>2.4500000000000002</v>
      </c>
      <c r="I776" s="4">
        <v>0</v>
      </c>
    </row>
    <row r="777" spans="1:9" x14ac:dyDescent="0.2">
      <c r="A777" s="2">
        <v>11</v>
      </c>
      <c r="B777" s="1" t="s">
        <v>182</v>
      </c>
      <c r="C777" s="4">
        <v>20</v>
      </c>
      <c r="D777" s="8">
        <v>1.57</v>
      </c>
      <c r="E777" s="4">
        <v>2</v>
      </c>
      <c r="F777" s="8">
        <v>0.43</v>
      </c>
      <c r="G777" s="4">
        <v>18</v>
      </c>
      <c r="H777" s="8">
        <v>2.2000000000000002</v>
      </c>
      <c r="I777" s="4">
        <v>0</v>
      </c>
    </row>
    <row r="778" spans="1:9" x14ac:dyDescent="0.2">
      <c r="A778" s="2">
        <v>11</v>
      </c>
      <c r="B778" s="1" t="s">
        <v>160</v>
      </c>
      <c r="C778" s="4">
        <v>20</v>
      </c>
      <c r="D778" s="8">
        <v>1.57</v>
      </c>
      <c r="E778" s="4">
        <v>2</v>
      </c>
      <c r="F778" s="8">
        <v>0.43</v>
      </c>
      <c r="G778" s="4">
        <v>18</v>
      </c>
      <c r="H778" s="8">
        <v>2.2000000000000002</v>
      </c>
      <c r="I778" s="4">
        <v>0</v>
      </c>
    </row>
    <row r="779" spans="1:9" x14ac:dyDescent="0.2">
      <c r="A779" s="2">
        <v>11</v>
      </c>
      <c r="B779" s="1" t="s">
        <v>162</v>
      </c>
      <c r="C779" s="4">
        <v>20</v>
      </c>
      <c r="D779" s="8">
        <v>1.57</v>
      </c>
      <c r="E779" s="4">
        <v>8</v>
      </c>
      <c r="F779" s="8">
        <v>1.74</v>
      </c>
      <c r="G779" s="4">
        <v>12</v>
      </c>
      <c r="H779" s="8">
        <v>1.47</v>
      </c>
      <c r="I779" s="4">
        <v>0</v>
      </c>
    </row>
    <row r="780" spans="1:9" x14ac:dyDescent="0.2">
      <c r="A780" s="2">
        <v>14</v>
      </c>
      <c r="B780" s="1" t="s">
        <v>177</v>
      </c>
      <c r="C780" s="4">
        <v>19</v>
      </c>
      <c r="D780" s="8">
        <v>1.49</v>
      </c>
      <c r="E780" s="4">
        <v>1</v>
      </c>
      <c r="F780" s="8">
        <v>0.22</v>
      </c>
      <c r="G780" s="4">
        <v>18</v>
      </c>
      <c r="H780" s="8">
        <v>2.2000000000000002</v>
      </c>
      <c r="I780" s="4">
        <v>0</v>
      </c>
    </row>
    <row r="781" spans="1:9" x14ac:dyDescent="0.2">
      <c r="A781" s="2">
        <v>14</v>
      </c>
      <c r="B781" s="1" t="s">
        <v>189</v>
      </c>
      <c r="C781" s="4">
        <v>19</v>
      </c>
      <c r="D781" s="8">
        <v>1.49</v>
      </c>
      <c r="E781" s="4">
        <v>12</v>
      </c>
      <c r="F781" s="8">
        <v>2.61</v>
      </c>
      <c r="G781" s="4">
        <v>7</v>
      </c>
      <c r="H781" s="8">
        <v>0.86</v>
      </c>
      <c r="I781" s="4">
        <v>0</v>
      </c>
    </row>
    <row r="782" spans="1:9" x14ac:dyDescent="0.2">
      <c r="A782" s="2">
        <v>14</v>
      </c>
      <c r="B782" s="1" t="s">
        <v>171</v>
      </c>
      <c r="C782" s="4">
        <v>19</v>
      </c>
      <c r="D782" s="8">
        <v>1.49</v>
      </c>
      <c r="E782" s="4">
        <v>10</v>
      </c>
      <c r="F782" s="8">
        <v>2.17</v>
      </c>
      <c r="G782" s="4">
        <v>9</v>
      </c>
      <c r="H782" s="8">
        <v>1.1000000000000001</v>
      </c>
      <c r="I782" s="4">
        <v>0</v>
      </c>
    </row>
    <row r="783" spans="1:9" x14ac:dyDescent="0.2">
      <c r="A783" s="2">
        <v>17</v>
      </c>
      <c r="B783" s="1" t="s">
        <v>197</v>
      </c>
      <c r="C783" s="4">
        <v>18</v>
      </c>
      <c r="D783" s="8">
        <v>1.41</v>
      </c>
      <c r="E783" s="4">
        <v>4</v>
      </c>
      <c r="F783" s="8">
        <v>0.87</v>
      </c>
      <c r="G783" s="4">
        <v>14</v>
      </c>
      <c r="H783" s="8">
        <v>1.71</v>
      </c>
      <c r="I783" s="4">
        <v>0</v>
      </c>
    </row>
    <row r="784" spans="1:9" x14ac:dyDescent="0.2">
      <c r="A784" s="2">
        <v>17</v>
      </c>
      <c r="B784" s="1" t="s">
        <v>176</v>
      </c>
      <c r="C784" s="4">
        <v>18</v>
      </c>
      <c r="D784" s="8">
        <v>1.41</v>
      </c>
      <c r="E784" s="4">
        <v>8</v>
      </c>
      <c r="F784" s="8">
        <v>1.74</v>
      </c>
      <c r="G784" s="4">
        <v>10</v>
      </c>
      <c r="H784" s="8">
        <v>1.22</v>
      </c>
      <c r="I784" s="4">
        <v>0</v>
      </c>
    </row>
    <row r="785" spans="1:9" x14ac:dyDescent="0.2">
      <c r="A785" s="2">
        <v>19</v>
      </c>
      <c r="B785" s="1" t="s">
        <v>188</v>
      </c>
      <c r="C785" s="4">
        <v>17</v>
      </c>
      <c r="D785" s="8">
        <v>1.33</v>
      </c>
      <c r="E785" s="4">
        <v>8</v>
      </c>
      <c r="F785" s="8">
        <v>1.74</v>
      </c>
      <c r="G785" s="4">
        <v>9</v>
      </c>
      <c r="H785" s="8">
        <v>1.1000000000000001</v>
      </c>
      <c r="I785" s="4">
        <v>0</v>
      </c>
    </row>
    <row r="786" spans="1:9" x14ac:dyDescent="0.2">
      <c r="A786" s="2">
        <v>20</v>
      </c>
      <c r="B786" s="1" t="s">
        <v>161</v>
      </c>
      <c r="C786" s="4">
        <v>16</v>
      </c>
      <c r="D786" s="8">
        <v>1.25</v>
      </c>
      <c r="E786" s="4">
        <v>0</v>
      </c>
      <c r="F786" s="8">
        <v>0</v>
      </c>
      <c r="G786" s="4">
        <v>16</v>
      </c>
      <c r="H786" s="8">
        <v>1.96</v>
      </c>
      <c r="I786" s="4">
        <v>0</v>
      </c>
    </row>
    <row r="787" spans="1:9" x14ac:dyDescent="0.2">
      <c r="A787" s="1"/>
      <c r="C787" s="4"/>
      <c r="D787" s="8"/>
      <c r="E787" s="4"/>
      <c r="F787" s="8"/>
      <c r="G787" s="4"/>
      <c r="H787" s="8"/>
      <c r="I787" s="4"/>
    </row>
    <row r="788" spans="1:9" x14ac:dyDescent="0.2">
      <c r="A788" s="1" t="s">
        <v>35</v>
      </c>
      <c r="C788" s="4"/>
      <c r="D788" s="8"/>
      <c r="E788" s="4"/>
      <c r="F788" s="8"/>
      <c r="G788" s="4"/>
      <c r="H788" s="8"/>
      <c r="I788" s="4"/>
    </row>
    <row r="789" spans="1:9" x14ac:dyDescent="0.2">
      <c r="A789" s="2">
        <v>1</v>
      </c>
      <c r="B789" s="1" t="s">
        <v>167</v>
      </c>
      <c r="C789" s="4">
        <v>62</v>
      </c>
      <c r="D789" s="8">
        <v>5.86</v>
      </c>
      <c r="E789" s="4">
        <v>2</v>
      </c>
      <c r="F789" s="8">
        <v>0.77</v>
      </c>
      <c r="G789" s="4">
        <v>60</v>
      </c>
      <c r="H789" s="8">
        <v>7.62</v>
      </c>
      <c r="I789" s="4">
        <v>0</v>
      </c>
    </row>
    <row r="790" spans="1:9" x14ac:dyDescent="0.2">
      <c r="A790" s="2">
        <v>2</v>
      </c>
      <c r="B790" s="1" t="s">
        <v>168</v>
      </c>
      <c r="C790" s="4">
        <v>37</v>
      </c>
      <c r="D790" s="8">
        <v>3.5</v>
      </c>
      <c r="E790" s="4">
        <v>0</v>
      </c>
      <c r="F790" s="8">
        <v>0</v>
      </c>
      <c r="G790" s="4">
        <v>34</v>
      </c>
      <c r="H790" s="8">
        <v>4.32</v>
      </c>
      <c r="I790" s="4">
        <v>1</v>
      </c>
    </row>
    <row r="791" spans="1:9" x14ac:dyDescent="0.2">
      <c r="A791" s="2">
        <v>3</v>
      </c>
      <c r="B791" s="1" t="s">
        <v>166</v>
      </c>
      <c r="C791" s="4">
        <v>36</v>
      </c>
      <c r="D791" s="8">
        <v>3.4</v>
      </c>
      <c r="E791" s="4">
        <v>1</v>
      </c>
      <c r="F791" s="8">
        <v>0.39</v>
      </c>
      <c r="G791" s="4">
        <v>35</v>
      </c>
      <c r="H791" s="8">
        <v>4.45</v>
      </c>
      <c r="I791" s="4">
        <v>0</v>
      </c>
    </row>
    <row r="792" spans="1:9" x14ac:dyDescent="0.2">
      <c r="A792" s="2">
        <v>4</v>
      </c>
      <c r="B792" s="1" t="s">
        <v>174</v>
      </c>
      <c r="C792" s="4">
        <v>30</v>
      </c>
      <c r="D792" s="8">
        <v>2.84</v>
      </c>
      <c r="E792" s="4">
        <v>16</v>
      </c>
      <c r="F792" s="8">
        <v>6.18</v>
      </c>
      <c r="G792" s="4">
        <v>14</v>
      </c>
      <c r="H792" s="8">
        <v>1.78</v>
      </c>
      <c r="I792" s="4">
        <v>0</v>
      </c>
    </row>
    <row r="793" spans="1:9" x14ac:dyDescent="0.2">
      <c r="A793" s="2">
        <v>5</v>
      </c>
      <c r="B793" s="1" t="s">
        <v>173</v>
      </c>
      <c r="C793" s="4">
        <v>28</v>
      </c>
      <c r="D793" s="8">
        <v>2.65</v>
      </c>
      <c r="E793" s="4">
        <v>20</v>
      </c>
      <c r="F793" s="8">
        <v>7.72</v>
      </c>
      <c r="G793" s="4">
        <v>8</v>
      </c>
      <c r="H793" s="8">
        <v>1.02</v>
      </c>
      <c r="I793" s="4">
        <v>0</v>
      </c>
    </row>
    <row r="794" spans="1:9" x14ac:dyDescent="0.2">
      <c r="A794" s="2">
        <v>6</v>
      </c>
      <c r="B794" s="1" t="s">
        <v>161</v>
      </c>
      <c r="C794" s="4">
        <v>26</v>
      </c>
      <c r="D794" s="8">
        <v>2.46</v>
      </c>
      <c r="E794" s="4">
        <v>4</v>
      </c>
      <c r="F794" s="8">
        <v>1.54</v>
      </c>
      <c r="G794" s="4">
        <v>22</v>
      </c>
      <c r="H794" s="8">
        <v>2.8</v>
      </c>
      <c r="I794" s="4">
        <v>0</v>
      </c>
    </row>
    <row r="795" spans="1:9" x14ac:dyDescent="0.2">
      <c r="A795" s="2">
        <v>7</v>
      </c>
      <c r="B795" s="1" t="s">
        <v>197</v>
      </c>
      <c r="C795" s="4">
        <v>25</v>
      </c>
      <c r="D795" s="8">
        <v>2.36</v>
      </c>
      <c r="E795" s="4">
        <v>1</v>
      </c>
      <c r="F795" s="8">
        <v>0.39</v>
      </c>
      <c r="G795" s="4">
        <v>24</v>
      </c>
      <c r="H795" s="8">
        <v>3.05</v>
      </c>
      <c r="I795" s="4">
        <v>0</v>
      </c>
    </row>
    <row r="796" spans="1:9" x14ac:dyDescent="0.2">
      <c r="A796" s="2">
        <v>8</v>
      </c>
      <c r="B796" s="1" t="s">
        <v>182</v>
      </c>
      <c r="C796" s="4">
        <v>23</v>
      </c>
      <c r="D796" s="8">
        <v>2.17</v>
      </c>
      <c r="E796" s="4">
        <v>4</v>
      </c>
      <c r="F796" s="8">
        <v>1.54</v>
      </c>
      <c r="G796" s="4">
        <v>19</v>
      </c>
      <c r="H796" s="8">
        <v>2.41</v>
      </c>
      <c r="I796" s="4">
        <v>0</v>
      </c>
    </row>
    <row r="797" spans="1:9" x14ac:dyDescent="0.2">
      <c r="A797" s="2">
        <v>8</v>
      </c>
      <c r="B797" s="1" t="s">
        <v>160</v>
      </c>
      <c r="C797" s="4">
        <v>23</v>
      </c>
      <c r="D797" s="8">
        <v>2.17</v>
      </c>
      <c r="E797" s="4">
        <v>2</v>
      </c>
      <c r="F797" s="8">
        <v>0.77</v>
      </c>
      <c r="G797" s="4">
        <v>21</v>
      </c>
      <c r="H797" s="8">
        <v>2.67</v>
      </c>
      <c r="I797" s="4">
        <v>0</v>
      </c>
    </row>
    <row r="798" spans="1:9" x14ac:dyDescent="0.2">
      <c r="A798" s="2">
        <v>8</v>
      </c>
      <c r="B798" s="1" t="s">
        <v>169</v>
      </c>
      <c r="C798" s="4">
        <v>23</v>
      </c>
      <c r="D798" s="8">
        <v>2.17</v>
      </c>
      <c r="E798" s="4">
        <v>19</v>
      </c>
      <c r="F798" s="8">
        <v>7.34</v>
      </c>
      <c r="G798" s="4">
        <v>4</v>
      </c>
      <c r="H798" s="8">
        <v>0.51</v>
      </c>
      <c r="I798" s="4">
        <v>0</v>
      </c>
    </row>
    <row r="799" spans="1:9" x14ac:dyDescent="0.2">
      <c r="A799" s="2">
        <v>11</v>
      </c>
      <c r="B799" s="1" t="s">
        <v>172</v>
      </c>
      <c r="C799" s="4">
        <v>22</v>
      </c>
      <c r="D799" s="8">
        <v>2.08</v>
      </c>
      <c r="E799" s="4">
        <v>19</v>
      </c>
      <c r="F799" s="8">
        <v>7.34</v>
      </c>
      <c r="G799" s="4">
        <v>3</v>
      </c>
      <c r="H799" s="8">
        <v>0.38</v>
      </c>
      <c r="I799" s="4">
        <v>0</v>
      </c>
    </row>
    <row r="800" spans="1:9" x14ac:dyDescent="0.2">
      <c r="A800" s="2">
        <v>12</v>
      </c>
      <c r="B800" s="1" t="s">
        <v>199</v>
      </c>
      <c r="C800" s="4">
        <v>21</v>
      </c>
      <c r="D800" s="8">
        <v>1.98</v>
      </c>
      <c r="E800" s="4">
        <v>0</v>
      </c>
      <c r="F800" s="8">
        <v>0</v>
      </c>
      <c r="G800" s="4">
        <v>21</v>
      </c>
      <c r="H800" s="8">
        <v>2.67</v>
      </c>
      <c r="I800" s="4">
        <v>0</v>
      </c>
    </row>
    <row r="801" spans="1:9" x14ac:dyDescent="0.2">
      <c r="A801" s="2">
        <v>13</v>
      </c>
      <c r="B801" s="1" t="s">
        <v>175</v>
      </c>
      <c r="C801" s="4">
        <v>20</v>
      </c>
      <c r="D801" s="8">
        <v>1.89</v>
      </c>
      <c r="E801" s="4">
        <v>15</v>
      </c>
      <c r="F801" s="8">
        <v>5.79</v>
      </c>
      <c r="G801" s="4">
        <v>5</v>
      </c>
      <c r="H801" s="8">
        <v>0.64</v>
      </c>
      <c r="I801" s="4">
        <v>0</v>
      </c>
    </row>
    <row r="802" spans="1:9" x14ac:dyDescent="0.2">
      <c r="A802" s="2">
        <v>14</v>
      </c>
      <c r="B802" s="1" t="s">
        <v>177</v>
      </c>
      <c r="C802" s="4">
        <v>18</v>
      </c>
      <c r="D802" s="8">
        <v>1.7</v>
      </c>
      <c r="E802" s="4">
        <v>1</v>
      </c>
      <c r="F802" s="8">
        <v>0.39</v>
      </c>
      <c r="G802" s="4">
        <v>17</v>
      </c>
      <c r="H802" s="8">
        <v>2.16</v>
      </c>
      <c r="I802" s="4">
        <v>0</v>
      </c>
    </row>
    <row r="803" spans="1:9" x14ac:dyDescent="0.2">
      <c r="A803" s="2">
        <v>14</v>
      </c>
      <c r="B803" s="1" t="s">
        <v>178</v>
      </c>
      <c r="C803" s="4">
        <v>18</v>
      </c>
      <c r="D803" s="8">
        <v>1.7</v>
      </c>
      <c r="E803" s="4">
        <v>2</v>
      </c>
      <c r="F803" s="8">
        <v>0.77</v>
      </c>
      <c r="G803" s="4">
        <v>16</v>
      </c>
      <c r="H803" s="8">
        <v>2.0299999999999998</v>
      </c>
      <c r="I803" s="4">
        <v>0</v>
      </c>
    </row>
    <row r="804" spans="1:9" x14ac:dyDescent="0.2">
      <c r="A804" s="2">
        <v>16</v>
      </c>
      <c r="B804" s="1" t="s">
        <v>170</v>
      </c>
      <c r="C804" s="4">
        <v>17</v>
      </c>
      <c r="D804" s="8">
        <v>1.61</v>
      </c>
      <c r="E804" s="4">
        <v>8</v>
      </c>
      <c r="F804" s="8">
        <v>3.09</v>
      </c>
      <c r="G804" s="4">
        <v>9</v>
      </c>
      <c r="H804" s="8">
        <v>1.1399999999999999</v>
      </c>
      <c r="I804" s="4">
        <v>0</v>
      </c>
    </row>
    <row r="805" spans="1:9" x14ac:dyDescent="0.2">
      <c r="A805" s="2">
        <v>17</v>
      </c>
      <c r="B805" s="1" t="s">
        <v>193</v>
      </c>
      <c r="C805" s="4">
        <v>16</v>
      </c>
      <c r="D805" s="8">
        <v>1.51</v>
      </c>
      <c r="E805" s="4">
        <v>1</v>
      </c>
      <c r="F805" s="8">
        <v>0.39</v>
      </c>
      <c r="G805" s="4">
        <v>14</v>
      </c>
      <c r="H805" s="8">
        <v>1.78</v>
      </c>
      <c r="I805" s="4">
        <v>1</v>
      </c>
    </row>
    <row r="806" spans="1:9" x14ac:dyDescent="0.2">
      <c r="A806" s="2">
        <v>18</v>
      </c>
      <c r="B806" s="1" t="s">
        <v>158</v>
      </c>
      <c r="C806" s="4">
        <v>15</v>
      </c>
      <c r="D806" s="8">
        <v>1.42</v>
      </c>
      <c r="E806" s="4">
        <v>2</v>
      </c>
      <c r="F806" s="8">
        <v>0.77</v>
      </c>
      <c r="G806" s="4">
        <v>13</v>
      </c>
      <c r="H806" s="8">
        <v>1.65</v>
      </c>
      <c r="I806" s="4">
        <v>0</v>
      </c>
    </row>
    <row r="807" spans="1:9" x14ac:dyDescent="0.2">
      <c r="A807" s="2">
        <v>18</v>
      </c>
      <c r="B807" s="1" t="s">
        <v>163</v>
      </c>
      <c r="C807" s="4">
        <v>15</v>
      </c>
      <c r="D807" s="8">
        <v>1.42</v>
      </c>
      <c r="E807" s="4">
        <v>2</v>
      </c>
      <c r="F807" s="8">
        <v>0.77</v>
      </c>
      <c r="G807" s="4">
        <v>13</v>
      </c>
      <c r="H807" s="8">
        <v>1.65</v>
      </c>
      <c r="I807" s="4">
        <v>0</v>
      </c>
    </row>
    <row r="808" spans="1:9" x14ac:dyDescent="0.2">
      <c r="A808" s="2">
        <v>20</v>
      </c>
      <c r="B808" s="1" t="s">
        <v>162</v>
      </c>
      <c r="C808" s="4">
        <v>14</v>
      </c>
      <c r="D808" s="8">
        <v>1.32</v>
      </c>
      <c r="E808" s="4">
        <v>3</v>
      </c>
      <c r="F808" s="8">
        <v>1.1599999999999999</v>
      </c>
      <c r="G808" s="4">
        <v>11</v>
      </c>
      <c r="H808" s="8">
        <v>1.4</v>
      </c>
      <c r="I808" s="4">
        <v>0</v>
      </c>
    </row>
    <row r="809" spans="1:9" x14ac:dyDescent="0.2">
      <c r="A809" s="2">
        <v>20</v>
      </c>
      <c r="B809" s="1" t="s">
        <v>176</v>
      </c>
      <c r="C809" s="4">
        <v>14</v>
      </c>
      <c r="D809" s="8">
        <v>1.32</v>
      </c>
      <c r="E809" s="4">
        <v>4</v>
      </c>
      <c r="F809" s="8">
        <v>1.54</v>
      </c>
      <c r="G809" s="4">
        <v>10</v>
      </c>
      <c r="H809" s="8">
        <v>1.27</v>
      </c>
      <c r="I809" s="4">
        <v>0</v>
      </c>
    </row>
    <row r="810" spans="1:9" x14ac:dyDescent="0.2">
      <c r="A810" s="1"/>
      <c r="C810" s="4"/>
      <c r="D810" s="8"/>
      <c r="E810" s="4"/>
      <c r="F810" s="8"/>
      <c r="G810" s="4"/>
      <c r="H810" s="8"/>
      <c r="I810" s="4"/>
    </row>
    <row r="811" spans="1:9" x14ac:dyDescent="0.2">
      <c r="A811" s="1" t="s">
        <v>36</v>
      </c>
      <c r="C811" s="4"/>
      <c r="D811" s="8"/>
      <c r="E811" s="4"/>
      <c r="F811" s="8"/>
      <c r="G811" s="4"/>
      <c r="H811" s="8"/>
      <c r="I811" s="4"/>
    </row>
    <row r="812" spans="1:9" x14ac:dyDescent="0.2">
      <c r="A812" s="2">
        <v>1</v>
      </c>
      <c r="B812" s="1" t="s">
        <v>173</v>
      </c>
      <c r="C812" s="4">
        <v>107</v>
      </c>
      <c r="D812" s="8">
        <v>3.94</v>
      </c>
      <c r="E812" s="4">
        <v>90</v>
      </c>
      <c r="F812" s="8">
        <v>10.16</v>
      </c>
      <c r="G812" s="4">
        <v>17</v>
      </c>
      <c r="H812" s="8">
        <v>0.93</v>
      </c>
      <c r="I812" s="4">
        <v>0</v>
      </c>
    </row>
    <row r="813" spans="1:9" x14ac:dyDescent="0.2">
      <c r="A813" s="2">
        <v>2</v>
      </c>
      <c r="B813" s="1" t="s">
        <v>167</v>
      </c>
      <c r="C813" s="4">
        <v>91</v>
      </c>
      <c r="D813" s="8">
        <v>3.35</v>
      </c>
      <c r="E813" s="4">
        <v>20</v>
      </c>
      <c r="F813" s="8">
        <v>2.2599999999999998</v>
      </c>
      <c r="G813" s="4">
        <v>71</v>
      </c>
      <c r="H813" s="8">
        <v>3.9</v>
      </c>
      <c r="I813" s="4">
        <v>0</v>
      </c>
    </row>
    <row r="814" spans="1:9" x14ac:dyDescent="0.2">
      <c r="A814" s="2">
        <v>3</v>
      </c>
      <c r="B814" s="1" t="s">
        <v>161</v>
      </c>
      <c r="C814" s="4">
        <v>90</v>
      </c>
      <c r="D814" s="8">
        <v>3.31</v>
      </c>
      <c r="E814" s="4">
        <v>11</v>
      </c>
      <c r="F814" s="8">
        <v>1.24</v>
      </c>
      <c r="G814" s="4">
        <v>79</v>
      </c>
      <c r="H814" s="8">
        <v>4.34</v>
      </c>
      <c r="I814" s="4">
        <v>0</v>
      </c>
    </row>
    <row r="815" spans="1:9" x14ac:dyDescent="0.2">
      <c r="A815" s="2">
        <v>4</v>
      </c>
      <c r="B815" s="1" t="s">
        <v>160</v>
      </c>
      <c r="C815" s="4">
        <v>85</v>
      </c>
      <c r="D815" s="8">
        <v>3.13</v>
      </c>
      <c r="E815" s="4">
        <v>7</v>
      </c>
      <c r="F815" s="8">
        <v>0.79</v>
      </c>
      <c r="G815" s="4">
        <v>78</v>
      </c>
      <c r="H815" s="8">
        <v>4.29</v>
      </c>
      <c r="I815" s="4">
        <v>0</v>
      </c>
    </row>
    <row r="816" spans="1:9" x14ac:dyDescent="0.2">
      <c r="A816" s="2">
        <v>5</v>
      </c>
      <c r="B816" s="1" t="s">
        <v>166</v>
      </c>
      <c r="C816" s="4">
        <v>70</v>
      </c>
      <c r="D816" s="8">
        <v>2.58</v>
      </c>
      <c r="E816" s="4">
        <v>8</v>
      </c>
      <c r="F816" s="8">
        <v>0.9</v>
      </c>
      <c r="G816" s="4">
        <v>62</v>
      </c>
      <c r="H816" s="8">
        <v>3.41</v>
      </c>
      <c r="I816" s="4">
        <v>0</v>
      </c>
    </row>
    <row r="817" spans="1:9" x14ac:dyDescent="0.2">
      <c r="A817" s="2">
        <v>6</v>
      </c>
      <c r="B817" s="1" t="s">
        <v>175</v>
      </c>
      <c r="C817" s="4">
        <v>66</v>
      </c>
      <c r="D817" s="8">
        <v>2.4300000000000002</v>
      </c>
      <c r="E817" s="4">
        <v>57</v>
      </c>
      <c r="F817" s="8">
        <v>6.43</v>
      </c>
      <c r="G817" s="4">
        <v>9</v>
      </c>
      <c r="H817" s="8">
        <v>0.49</v>
      </c>
      <c r="I817" s="4">
        <v>0</v>
      </c>
    </row>
    <row r="818" spans="1:9" x14ac:dyDescent="0.2">
      <c r="A818" s="2">
        <v>7</v>
      </c>
      <c r="B818" s="1" t="s">
        <v>172</v>
      </c>
      <c r="C818" s="4">
        <v>62</v>
      </c>
      <c r="D818" s="8">
        <v>2.2799999999999998</v>
      </c>
      <c r="E818" s="4">
        <v>57</v>
      </c>
      <c r="F818" s="8">
        <v>6.43</v>
      </c>
      <c r="G818" s="4">
        <v>5</v>
      </c>
      <c r="H818" s="8">
        <v>0.27</v>
      </c>
      <c r="I818" s="4">
        <v>0</v>
      </c>
    </row>
    <row r="819" spans="1:9" x14ac:dyDescent="0.2">
      <c r="A819" s="2">
        <v>8</v>
      </c>
      <c r="B819" s="1" t="s">
        <v>177</v>
      </c>
      <c r="C819" s="4">
        <v>60</v>
      </c>
      <c r="D819" s="8">
        <v>2.21</v>
      </c>
      <c r="E819" s="4">
        <v>9</v>
      </c>
      <c r="F819" s="8">
        <v>1.02</v>
      </c>
      <c r="G819" s="4">
        <v>51</v>
      </c>
      <c r="H819" s="8">
        <v>2.8</v>
      </c>
      <c r="I819" s="4">
        <v>0</v>
      </c>
    </row>
    <row r="820" spans="1:9" x14ac:dyDescent="0.2">
      <c r="A820" s="2">
        <v>9</v>
      </c>
      <c r="B820" s="1" t="s">
        <v>170</v>
      </c>
      <c r="C820" s="4">
        <v>54</v>
      </c>
      <c r="D820" s="8">
        <v>1.99</v>
      </c>
      <c r="E820" s="4">
        <v>42</v>
      </c>
      <c r="F820" s="8">
        <v>4.74</v>
      </c>
      <c r="G820" s="4">
        <v>12</v>
      </c>
      <c r="H820" s="8">
        <v>0.66</v>
      </c>
      <c r="I820" s="4">
        <v>0</v>
      </c>
    </row>
    <row r="821" spans="1:9" x14ac:dyDescent="0.2">
      <c r="A821" s="2">
        <v>10</v>
      </c>
      <c r="B821" s="1" t="s">
        <v>158</v>
      </c>
      <c r="C821" s="4">
        <v>52</v>
      </c>
      <c r="D821" s="8">
        <v>1.92</v>
      </c>
      <c r="E821" s="4">
        <v>2</v>
      </c>
      <c r="F821" s="8">
        <v>0.23</v>
      </c>
      <c r="G821" s="4">
        <v>50</v>
      </c>
      <c r="H821" s="8">
        <v>2.75</v>
      </c>
      <c r="I821" s="4">
        <v>0</v>
      </c>
    </row>
    <row r="822" spans="1:9" x14ac:dyDescent="0.2">
      <c r="A822" s="2">
        <v>11</v>
      </c>
      <c r="B822" s="1" t="s">
        <v>168</v>
      </c>
      <c r="C822" s="4">
        <v>50</v>
      </c>
      <c r="D822" s="8">
        <v>1.84</v>
      </c>
      <c r="E822" s="4">
        <v>1</v>
      </c>
      <c r="F822" s="8">
        <v>0.11</v>
      </c>
      <c r="G822" s="4">
        <v>49</v>
      </c>
      <c r="H822" s="8">
        <v>2.69</v>
      </c>
      <c r="I822" s="4">
        <v>0</v>
      </c>
    </row>
    <row r="823" spans="1:9" x14ac:dyDescent="0.2">
      <c r="A823" s="2">
        <v>12</v>
      </c>
      <c r="B823" s="1" t="s">
        <v>157</v>
      </c>
      <c r="C823" s="4">
        <v>49</v>
      </c>
      <c r="D823" s="8">
        <v>1.8</v>
      </c>
      <c r="E823" s="4">
        <v>6</v>
      </c>
      <c r="F823" s="8">
        <v>0.68</v>
      </c>
      <c r="G823" s="4">
        <v>43</v>
      </c>
      <c r="H823" s="8">
        <v>2.36</v>
      </c>
      <c r="I823" s="4">
        <v>0</v>
      </c>
    </row>
    <row r="824" spans="1:9" x14ac:dyDescent="0.2">
      <c r="A824" s="2">
        <v>12</v>
      </c>
      <c r="B824" s="1" t="s">
        <v>159</v>
      </c>
      <c r="C824" s="4">
        <v>49</v>
      </c>
      <c r="D824" s="8">
        <v>1.8</v>
      </c>
      <c r="E824" s="4">
        <v>6</v>
      </c>
      <c r="F824" s="8">
        <v>0.68</v>
      </c>
      <c r="G824" s="4">
        <v>43</v>
      </c>
      <c r="H824" s="8">
        <v>2.36</v>
      </c>
      <c r="I824" s="4">
        <v>0</v>
      </c>
    </row>
    <row r="825" spans="1:9" x14ac:dyDescent="0.2">
      <c r="A825" s="2">
        <v>12</v>
      </c>
      <c r="B825" s="1" t="s">
        <v>174</v>
      </c>
      <c r="C825" s="4">
        <v>49</v>
      </c>
      <c r="D825" s="8">
        <v>1.8</v>
      </c>
      <c r="E825" s="4">
        <v>34</v>
      </c>
      <c r="F825" s="8">
        <v>3.84</v>
      </c>
      <c r="G825" s="4">
        <v>15</v>
      </c>
      <c r="H825" s="8">
        <v>0.82</v>
      </c>
      <c r="I825" s="4">
        <v>0</v>
      </c>
    </row>
    <row r="826" spans="1:9" x14ac:dyDescent="0.2">
      <c r="A826" s="2">
        <v>15</v>
      </c>
      <c r="B826" s="1" t="s">
        <v>171</v>
      </c>
      <c r="C826" s="4">
        <v>48</v>
      </c>
      <c r="D826" s="8">
        <v>1.77</v>
      </c>
      <c r="E826" s="4">
        <v>24</v>
      </c>
      <c r="F826" s="8">
        <v>2.71</v>
      </c>
      <c r="G826" s="4">
        <v>24</v>
      </c>
      <c r="H826" s="8">
        <v>1.32</v>
      </c>
      <c r="I826" s="4">
        <v>0</v>
      </c>
    </row>
    <row r="827" spans="1:9" x14ac:dyDescent="0.2">
      <c r="A827" s="2">
        <v>16</v>
      </c>
      <c r="B827" s="1" t="s">
        <v>182</v>
      </c>
      <c r="C827" s="4">
        <v>46</v>
      </c>
      <c r="D827" s="8">
        <v>1.69</v>
      </c>
      <c r="E827" s="4">
        <v>6</v>
      </c>
      <c r="F827" s="8">
        <v>0.68</v>
      </c>
      <c r="G827" s="4">
        <v>40</v>
      </c>
      <c r="H827" s="8">
        <v>2.2000000000000002</v>
      </c>
      <c r="I827" s="4">
        <v>0</v>
      </c>
    </row>
    <row r="828" spans="1:9" x14ac:dyDescent="0.2">
      <c r="A828" s="2">
        <v>17</v>
      </c>
      <c r="B828" s="1" t="s">
        <v>163</v>
      </c>
      <c r="C828" s="4">
        <v>44</v>
      </c>
      <c r="D828" s="8">
        <v>1.62</v>
      </c>
      <c r="E828" s="4">
        <v>17</v>
      </c>
      <c r="F828" s="8">
        <v>1.92</v>
      </c>
      <c r="G828" s="4">
        <v>27</v>
      </c>
      <c r="H828" s="8">
        <v>1.48</v>
      </c>
      <c r="I828" s="4">
        <v>0</v>
      </c>
    </row>
    <row r="829" spans="1:9" x14ac:dyDescent="0.2">
      <c r="A829" s="2">
        <v>18</v>
      </c>
      <c r="B829" s="1" t="s">
        <v>197</v>
      </c>
      <c r="C829" s="4">
        <v>41</v>
      </c>
      <c r="D829" s="8">
        <v>1.51</v>
      </c>
      <c r="E829" s="4">
        <v>13</v>
      </c>
      <c r="F829" s="8">
        <v>1.47</v>
      </c>
      <c r="G829" s="4">
        <v>28</v>
      </c>
      <c r="H829" s="8">
        <v>1.54</v>
      </c>
      <c r="I829" s="4">
        <v>0</v>
      </c>
    </row>
    <row r="830" spans="1:9" x14ac:dyDescent="0.2">
      <c r="A830" s="2">
        <v>19</v>
      </c>
      <c r="B830" s="1" t="s">
        <v>181</v>
      </c>
      <c r="C830" s="4">
        <v>40</v>
      </c>
      <c r="D830" s="8">
        <v>1.47</v>
      </c>
      <c r="E830" s="4">
        <v>7</v>
      </c>
      <c r="F830" s="8">
        <v>0.79</v>
      </c>
      <c r="G830" s="4">
        <v>33</v>
      </c>
      <c r="H830" s="8">
        <v>1.81</v>
      </c>
      <c r="I830" s="4">
        <v>0</v>
      </c>
    </row>
    <row r="831" spans="1:9" x14ac:dyDescent="0.2">
      <c r="A831" s="2">
        <v>20</v>
      </c>
      <c r="B831" s="1" t="s">
        <v>164</v>
      </c>
      <c r="C831" s="4">
        <v>36</v>
      </c>
      <c r="D831" s="8">
        <v>1.33</v>
      </c>
      <c r="E831" s="4">
        <v>23</v>
      </c>
      <c r="F831" s="8">
        <v>2.6</v>
      </c>
      <c r="G831" s="4">
        <v>13</v>
      </c>
      <c r="H831" s="8">
        <v>0.71</v>
      </c>
      <c r="I831" s="4">
        <v>0</v>
      </c>
    </row>
    <row r="832" spans="1:9" x14ac:dyDescent="0.2">
      <c r="A832" s="2">
        <v>20</v>
      </c>
      <c r="B832" s="1" t="s">
        <v>165</v>
      </c>
      <c r="C832" s="4">
        <v>36</v>
      </c>
      <c r="D832" s="8">
        <v>1.33</v>
      </c>
      <c r="E832" s="4">
        <v>3</v>
      </c>
      <c r="F832" s="8">
        <v>0.34</v>
      </c>
      <c r="G832" s="4">
        <v>33</v>
      </c>
      <c r="H832" s="8">
        <v>1.81</v>
      </c>
      <c r="I832" s="4">
        <v>0</v>
      </c>
    </row>
    <row r="833" spans="1:9" x14ac:dyDescent="0.2">
      <c r="A833" s="1"/>
      <c r="C833" s="4"/>
      <c r="D833" s="8"/>
      <c r="E833" s="4"/>
      <c r="F833" s="8"/>
      <c r="G833" s="4"/>
      <c r="H833" s="8"/>
      <c r="I833" s="4"/>
    </row>
    <row r="834" spans="1:9" x14ac:dyDescent="0.2">
      <c r="A834" s="1" t="s">
        <v>37</v>
      </c>
      <c r="C834" s="4"/>
      <c r="D834" s="8"/>
      <c r="E834" s="4"/>
      <c r="F834" s="8"/>
      <c r="G834" s="4"/>
      <c r="H834" s="8"/>
      <c r="I834" s="4"/>
    </row>
    <row r="835" spans="1:9" x14ac:dyDescent="0.2">
      <c r="A835" s="2">
        <v>1</v>
      </c>
      <c r="B835" s="1" t="s">
        <v>173</v>
      </c>
      <c r="C835" s="4">
        <v>74</v>
      </c>
      <c r="D835" s="8">
        <v>5.72</v>
      </c>
      <c r="E835" s="4">
        <v>62</v>
      </c>
      <c r="F835" s="8">
        <v>10.63</v>
      </c>
      <c r="G835" s="4">
        <v>12</v>
      </c>
      <c r="H835" s="8">
        <v>1.71</v>
      </c>
      <c r="I835" s="4">
        <v>0</v>
      </c>
    </row>
    <row r="836" spans="1:9" x14ac:dyDescent="0.2">
      <c r="A836" s="2">
        <v>2</v>
      </c>
      <c r="B836" s="1" t="s">
        <v>167</v>
      </c>
      <c r="C836" s="4">
        <v>51</v>
      </c>
      <c r="D836" s="8">
        <v>3.94</v>
      </c>
      <c r="E836" s="4">
        <v>16</v>
      </c>
      <c r="F836" s="8">
        <v>2.74</v>
      </c>
      <c r="G836" s="4">
        <v>35</v>
      </c>
      <c r="H836" s="8">
        <v>4.99</v>
      </c>
      <c r="I836" s="4">
        <v>0</v>
      </c>
    </row>
    <row r="837" spans="1:9" x14ac:dyDescent="0.2">
      <c r="A837" s="2">
        <v>3</v>
      </c>
      <c r="B837" s="1" t="s">
        <v>172</v>
      </c>
      <c r="C837" s="4">
        <v>46</v>
      </c>
      <c r="D837" s="8">
        <v>3.56</v>
      </c>
      <c r="E837" s="4">
        <v>44</v>
      </c>
      <c r="F837" s="8">
        <v>7.55</v>
      </c>
      <c r="G837" s="4">
        <v>2</v>
      </c>
      <c r="H837" s="8">
        <v>0.28000000000000003</v>
      </c>
      <c r="I837" s="4">
        <v>0</v>
      </c>
    </row>
    <row r="838" spans="1:9" x14ac:dyDescent="0.2">
      <c r="A838" s="2">
        <v>4</v>
      </c>
      <c r="B838" s="1" t="s">
        <v>174</v>
      </c>
      <c r="C838" s="4">
        <v>45</v>
      </c>
      <c r="D838" s="8">
        <v>3.48</v>
      </c>
      <c r="E838" s="4">
        <v>33</v>
      </c>
      <c r="F838" s="8">
        <v>5.66</v>
      </c>
      <c r="G838" s="4">
        <v>11</v>
      </c>
      <c r="H838" s="8">
        <v>1.57</v>
      </c>
      <c r="I838" s="4">
        <v>1</v>
      </c>
    </row>
    <row r="839" spans="1:9" x14ac:dyDescent="0.2">
      <c r="A839" s="2">
        <v>5</v>
      </c>
      <c r="B839" s="1" t="s">
        <v>166</v>
      </c>
      <c r="C839" s="4">
        <v>34</v>
      </c>
      <c r="D839" s="8">
        <v>2.63</v>
      </c>
      <c r="E839" s="4">
        <v>9</v>
      </c>
      <c r="F839" s="8">
        <v>1.54</v>
      </c>
      <c r="G839" s="4">
        <v>25</v>
      </c>
      <c r="H839" s="8">
        <v>3.56</v>
      </c>
      <c r="I839" s="4">
        <v>0</v>
      </c>
    </row>
    <row r="840" spans="1:9" x14ac:dyDescent="0.2">
      <c r="A840" s="2">
        <v>5</v>
      </c>
      <c r="B840" s="1" t="s">
        <v>170</v>
      </c>
      <c r="C840" s="4">
        <v>34</v>
      </c>
      <c r="D840" s="8">
        <v>2.63</v>
      </c>
      <c r="E840" s="4">
        <v>30</v>
      </c>
      <c r="F840" s="8">
        <v>5.15</v>
      </c>
      <c r="G840" s="4">
        <v>4</v>
      </c>
      <c r="H840" s="8">
        <v>0.56999999999999995</v>
      </c>
      <c r="I840" s="4">
        <v>0</v>
      </c>
    </row>
    <row r="841" spans="1:9" x14ac:dyDescent="0.2">
      <c r="A841" s="2">
        <v>7</v>
      </c>
      <c r="B841" s="1" t="s">
        <v>175</v>
      </c>
      <c r="C841" s="4">
        <v>33</v>
      </c>
      <c r="D841" s="8">
        <v>2.5499999999999998</v>
      </c>
      <c r="E841" s="4">
        <v>30</v>
      </c>
      <c r="F841" s="8">
        <v>5.15</v>
      </c>
      <c r="G841" s="4">
        <v>3</v>
      </c>
      <c r="H841" s="8">
        <v>0.43</v>
      </c>
      <c r="I841" s="4">
        <v>0</v>
      </c>
    </row>
    <row r="842" spans="1:9" x14ac:dyDescent="0.2">
      <c r="A842" s="2">
        <v>8</v>
      </c>
      <c r="B842" s="1" t="s">
        <v>163</v>
      </c>
      <c r="C842" s="4">
        <v>32</v>
      </c>
      <c r="D842" s="8">
        <v>2.4700000000000002</v>
      </c>
      <c r="E842" s="4">
        <v>10</v>
      </c>
      <c r="F842" s="8">
        <v>1.72</v>
      </c>
      <c r="G842" s="4">
        <v>22</v>
      </c>
      <c r="H842" s="8">
        <v>3.13</v>
      </c>
      <c r="I842" s="4">
        <v>0</v>
      </c>
    </row>
    <row r="843" spans="1:9" x14ac:dyDescent="0.2">
      <c r="A843" s="2">
        <v>9</v>
      </c>
      <c r="B843" s="1" t="s">
        <v>169</v>
      </c>
      <c r="C843" s="4">
        <v>31</v>
      </c>
      <c r="D843" s="8">
        <v>2.4</v>
      </c>
      <c r="E843" s="4">
        <v>25</v>
      </c>
      <c r="F843" s="8">
        <v>4.29</v>
      </c>
      <c r="G843" s="4">
        <v>6</v>
      </c>
      <c r="H843" s="8">
        <v>0.85</v>
      </c>
      <c r="I843" s="4">
        <v>0</v>
      </c>
    </row>
    <row r="844" spans="1:9" x14ac:dyDescent="0.2">
      <c r="A844" s="2">
        <v>10</v>
      </c>
      <c r="B844" s="1" t="s">
        <v>209</v>
      </c>
      <c r="C844" s="4">
        <v>28</v>
      </c>
      <c r="D844" s="8">
        <v>2.17</v>
      </c>
      <c r="E844" s="4">
        <v>24</v>
      </c>
      <c r="F844" s="8">
        <v>4.12</v>
      </c>
      <c r="G844" s="4">
        <v>4</v>
      </c>
      <c r="H844" s="8">
        <v>0.56999999999999995</v>
      </c>
      <c r="I844" s="4">
        <v>0</v>
      </c>
    </row>
    <row r="845" spans="1:9" x14ac:dyDescent="0.2">
      <c r="A845" s="2">
        <v>11</v>
      </c>
      <c r="B845" s="1" t="s">
        <v>161</v>
      </c>
      <c r="C845" s="4">
        <v>26</v>
      </c>
      <c r="D845" s="8">
        <v>2.0099999999999998</v>
      </c>
      <c r="E845" s="4">
        <v>6</v>
      </c>
      <c r="F845" s="8">
        <v>1.03</v>
      </c>
      <c r="G845" s="4">
        <v>20</v>
      </c>
      <c r="H845" s="8">
        <v>2.85</v>
      </c>
      <c r="I845" s="4">
        <v>0</v>
      </c>
    </row>
    <row r="846" spans="1:9" x14ac:dyDescent="0.2">
      <c r="A846" s="2">
        <v>12</v>
      </c>
      <c r="B846" s="1" t="s">
        <v>164</v>
      </c>
      <c r="C846" s="4">
        <v>25</v>
      </c>
      <c r="D846" s="8">
        <v>1.93</v>
      </c>
      <c r="E846" s="4">
        <v>10</v>
      </c>
      <c r="F846" s="8">
        <v>1.72</v>
      </c>
      <c r="G846" s="4">
        <v>15</v>
      </c>
      <c r="H846" s="8">
        <v>2.14</v>
      </c>
      <c r="I846" s="4">
        <v>0</v>
      </c>
    </row>
    <row r="847" spans="1:9" x14ac:dyDescent="0.2">
      <c r="A847" s="2">
        <v>13</v>
      </c>
      <c r="B847" s="1" t="s">
        <v>160</v>
      </c>
      <c r="C847" s="4">
        <v>24</v>
      </c>
      <c r="D847" s="8">
        <v>1.86</v>
      </c>
      <c r="E847" s="4">
        <v>8</v>
      </c>
      <c r="F847" s="8">
        <v>1.37</v>
      </c>
      <c r="G847" s="4">
        <v>16</v>
      </c>
      <c r="H847" s="8">
        <v>2.2799999999999998</v>
      </c>
      <c r="I847" s="4">
        <v>0</v>
      </c>
    </row>
    <row r="848" spans="1:9" x14ac:dyDescent="0.2">
      <c r="A848" s="2">
        <v>13</v>
      </c>
      <c r="B848" s="1" t="s">
        <v>179</v>
      </c>
      <c r="C848" s="4">
        <v>24</v>
      </c>
      <c r="D848" s="8">
        <v>1.86</v>
      </c>
      <c r="E848" s="4">
        <v>12</v>
      </c>
      <c r="F848" s="8">
        <v>2.06</v>
      </c>
      <c r="G848" s="4">
        <v>12</v>
      </c>
      <c r="H848" s="8">
        <v>1.71</v>
      </c>
      <c r="I848" s="4">
        <v>0</v>
      </c>
    </row>
    <row r="849" spans="1:9" x14ac:dyDescent="0.2">
      <c r="A849" s="2">
        <v>15</v>
      </c>
      <c r="B849" s="1" t="s">
        <v>165</v>
      </c>
      <c r="C849" s="4">
        <v>23</v>
      </c>
      <c r="D849" s="8">
        <v>1.78</v>
      </c>
      <c r="E849" s="4">
        <v>5</v>
      </c>
      <c r="F849" s="8">
        <v>0.86</v>
      </c>
      <c r="G849" s="4">
        <v>18</v>
      </c>
      <c r="H849" s="8">
        <v>2.56</v>
      </c>
      <c r="I849" s="4">
        <v>0</v>
      </c>
    </row>
    <row r="850" spans="1:9" x14ac:dyDescent="0.2">
      <c r="A850" s="2">
        <v>15</v>
      </c>
      <c r="B850" s="1" t="s">
        <v>178</v>
      </c>
      <c r="C850" s="4">
        <v>23</v>
      </c>
      <c r="D850" s="8">
        <v>1.78</v>
      </c>
      <c r="E850" s="4">
        <v>7</v>
      </c>
      <c r="F850" s="8">
        <v>1.2</v>
      </c>
      <c r="G850" s="4">
        <v>14</v>
      </c>
      <c r="H850" s="8">
        <v>1.99</v>
      </c>
      <c r="I850" s="4">
        <v>0</v>
      </c>
    </row>
    <row r="851" spans="1:9" x14ac:dyDescent="0.2">
      <c r="A851" s="2">
        <v>17</v>
      </c>
      <c r="B851" s="1" t="s">
        <v>162</v>
      </c>
      <c r="C851" s="4">
        <v>22</v>
      </c>
      <c r="D851" s="8">
        <v>1.7</v>
      </c>
      <c r="E851" s="4">
        <v>12</v>
      </c>
      <c r="F851" s="8">
        <v>2.06</v>
      </c>
      <c r="G851" s="4">
        <v>10</v>
      </c>
      <c r="H851" s="8">
        <v>1.42</v>
      </c>
      <c r="I851" s="4">
        <v>0</v>
      </c>
    </row>
    <row r="852" spans="1:9" x14ac:dyDescent="0.2">
      <c r="A852" s="2">
        <v>17</v>
      </c>
      <c r="B852" s="1" t="s">
        <v>168</v>
      </c>
      <c r="C852" s="4">
        <v>22</v>
      </c>
      <c r="D852" s="8">
        <v>1.7</v>
      </c>
      <c r="E852" s="4">
        <v>0</v>
      </c>
      <c r="F852" s="8">
        <v>0</v>
      </c>
      <c r="G852" s="4">
        <v>22</v>
      </c>
      <c r="H852" s="8">
        <v>3.13</v>
      </c>
      <c r="I852" s="4">
        <v>0</v>
      </c>
    </row>
    <row r="853" spans="1:9" x14ac:dyDescent="0.2">
      <c r="A853" s="2">
        <v>17</v>
      </c>
      <c r="B853" s="1" t="s">
        <v>171</v>
      </c>
      <c r="C853" s="4">
        <v>22</v>
      </c>
      <c r="D853" s="8">
        <v>1.7</v>
      </c>
      <c r="E853" s="4">
        <v>13</v>
      </c>
      <c r="F853" s="8">
        <v>2.23</v>
      </c>
      <c r="G853" s="4">
        <v>9</v>
      </c>
      <c r="H853" s="8">
        <v>1.28</v>
      </c>
      <c r="I853" s="4">
        <v>0</v>
      </c>
    </row>
    <row r="854" spans="1:9" x14ac:dyDescent="0.2">
      <c r="A854" s="2">
        <v>20</v>
      </c>
      <c r="B854" s="1" t="s">
        <v>159</v>
      </c>
      <c r="C854" s="4">
        <v>20</v>
      </c>
      <c r="D854" s="8">
        <v>1.55</v>
      </c>
      <c r="E854" s="4">
        <v>8</v>
      </c>
      <c r="F854" s="8">
        <v>1.37</v>
      </c>
      <c r="G854" s="4">
        <v>12</v>
      </c>
      <c r="H854" s="8">
        <v>1.71</v>
      </c>
      <c r="I854" s="4">
        <v>0</v>
      </c>
    </row>
    <row r="855" spans="1:9" x14ac:dyDescent="0.2">
      <c r="A855" s="1"/>
      <c r="C855" s="4"/>
      <c r="D855" s="8"/>
      <c r="E855" s="4"/>
      <c r="F855" s="8"/>
      <c r="G855" s="4"/>
      <c r="H855" s="8"/>
      <c r="I855" s="4"/>
    </row>
    <row r="856" spans="1:9" x14ac:dyDescent="0.2">
      <c r="A856" s="1" t="s">
        <v>38</v>
      </c>
      <c r="C856" s="4"/>
      <c r="D856" s="8"/>
      <c r="E856" s="4"/>
      <c r="F856" s="8"/>
      <c r="G856" s="4"/>
      <c r="H856" s="8"/>
      <c r="I856" s="4"/>
    </row>
    <row r="857" spans="1:9" x14ac:dyDescent="0.2">
      <c r="A857" s="2">
        <v>1</v>
      </c>
      <c r="B857" s="1" t="s">
        <v>173</v>
      </c>
      <c r="C857" s="4">
        <v>168</v>
      </c>
      <c r="D857" s="8">
        <v>6.52</v>
      </c>
      <c r="E857" s="4">
        <v>145</v>
      </c>
      <c r="F857" s="8">
        <v>11.58</v>
      </c>
      <c r="G857" s="4">
        <v>23</v>
      </c>
      <c r="H857" s="8">
        <v>1.76</v>
      </c>
      <c r="I857" s="4">
        <v>0</v>
      </c>
    </row>
    <row r="858" spans="1:9" x14ac:dyDescent="0.2">
      <c r="A858" s="2">
        <v>2</v>
      </c>
      <c r="B858" s="1" t="s">
        <v>172</v>
      </c>
      <c r="C858" s="4">
        <v>89</v>
      </c>
      <c r="D858" s="8">
        <v>3.45</v>
      </c>
      <c r="E858" s="4">
        <v>79</v>
      </c>
      <c r="F858" s="8">
        <v>6.31</v>
      </c>
      <c r="G858" s="4">
        <v>10</v>
      </c>
      <c r="H858" s="8">
        <v>0.77</v>
      </c>
      <c r="I858" s="4">
        <v>0</v>
      </c>
    </row>
    <row r="859" spans="1:9" x14ac:dyDescent="0.2">
      <c r="A859" s="2">
        <v>3</v>
      </c>
      <c r="B859" s="1" t="s">
        <v>167</v>
      </c>
      <c r="C859" s="4">
        <v>79</v>
      </c>
      <c r="D859" s="8">
        <v>3.07</v>
      </c>
      <c r="E859" s="4">
        <v>48</v>
      </c>
      <c r="F859" s="8">
        <v>3.83</v>
      </c>
      <c r="G859" s="4">
        <v>31</v>
      </c>
      <c r="H859" s="8">
        <v>2.37</v>
      </c>
      <c r="I859" s="4">
        <v>0</v>
      </c>
    </row>
    <row r="860" spans="1:9" x14ac:dyDescent="0.2">
      <c r="A860" s="2">
        <v>4</v>
      </c>
      <c r="B860" s="1" t="s">
        <v>175</v>
      </c>
      <c r="C860" s="4">
        <v>76</v>
      </c>
      <c r="D860" s="8">
        <v>2.95</v>
      </c>
      <c r="E860" s="4">
        <v>69</v>
      </c>
      <c r="F860" s="8">
        <v>5.51</v>
      </c>
      <c r="G860" s="4">
        <v>7</v>
      </c>
      <c r="H860" s="8">
        <v>0.54</v>
      </c>
      <c r="I860" s="4">
        <v>0</v>
      </c>
    </row>
    <row r="861" spans="1:9" x14ac:dyDescent="0.2">
      <c r="A861" s="2">
        <v>5</v>
      </c>
      <c r="B861" s="1" t="s">
        <v>174</v>
      </c>
      <c r="C861" s="4">
        <v>70</v>
      </c>
      <c r="D861" s="8">
        <v>2.72</v>
      </c>
      <c r="E861" s="4">
        <v>56</v>
      </c>
      <c r="F861" s="8">
        <v>4.47</v>
      </c>
      <c r="G861" s="4">
        <v>14</v>
      </c>
      <c r="H861" s="8">
        <v>1.07</v>
      </c>
      <c r="I861" s="4">
        <v>0</v>
      </c>
    </row>
    <row r="862" spans="1:9" x14ac:dyDescent="0.2">
      <c r="A862" s="2">
        <v>6</v>
      </c>
      <c r="B862" s="1" t="s">
        <v>159</v>
      </c>
      <c r="C862" s="4">
        <v>60</v>
      </c>
      <c r="D862" s="8">
        <v>2.33</v>
      </c>
      <c r="E862" s="4">
        <v>28</v>
      </c>
      <c r="F862" s="8">
        <v>2.2400000000000002</v>
      </c>
      <c r="G862" s="4">
        <v>32</v>
      </c>
      <c r="H862" s="8">
        <v>2.4500000000000002</v>
      </c>
      <c r="I862" s="4">
        <v>0</v>
      </c>
    </row>
    <row r="863" spans="1:9" x14ac:dyDescent="0.2">
      <c r="A863" s="2">
        <v>7</v>
      </c>
      <c r="B863" s="1" t="s">
        <v>157</v>
      </c>
      <c r="C863" s="4">
        <v>56</v>
      </c>
      <c r="D863" s="8">
        <v>2.17</v>
      </c>
      <c r="E863" s="4">
        <v>4</v>
      </c>
      <c r="F863" s="8">
        <v>0.32</v>
      </c>
      <c r="G863" s="4">
        <v>52</v>
      </c>
      <c r="H863" s="8">
        <v>3.98</v>
      </c>
      <c r="I863" s="4">
        <v>0</v>
      </c>
    </row>
    <row r="864" spans="1:9" x14ac:dyDescent="0.2">
      <c r="A864" s="2">
        <v>7</v>
      </c>
      <c r="B864" s="1" t="s">
        <v>189</v>
      </c>
      <c r="C864" s="4">
        <v>56</v>
      </c>
      <c r="D864" s="8">
        <v>2.17</v>
      </c>
      <c r="E864" s="4">
        <v>48</v>
      </c>
      <c r="F864" s="8">
        <v>3.83</v>
      </c>
      <c r="G864" s="4">
        <v>8</v>
      </c>
      <c r="H864" s="8">
        <v>0.61</v>
      </c>
      <c r="I864" s="4">
        <v>0</v>
      </c>
    </row>
    <row r="865" spans="1:9" x14ac:dyDescent="0.2">
      <c r="A865" s="2">
        <v>9</v>
      </c>
      <c r="B865" s="1" t="s">
        <v>164</v>
      </c>
      <c r="C865" s="4">
        <v>55</v>
      </c>
      <c r="D865" s="8">
        <v>2.14</v>
      </c>
      <c r="E865" s="4">
        <v>30</v>
      </c>
      <c r="F865" s="8">
        <v>2.4</v>
      </c>
      <c r="G865" s="4">
        <v>25</v>
      </c>
      <c r="H865" s="8">
        <v>1.91</v>
      </c>
      <c r="I865" s="4">
        <v>0</v>
      </c>
    </row>
    <row r="866" spans="1:9" x14ac:dyDescent="0.2">
      <c r="A866" s="2">
        <v>9</v>
      </c>
      <c r="B866" s="1" t="s">
        <v>169</v>
      </c>
      <c r="C866" s="4">
        <v>55</v>
      </c>
      <c r="D866" s="8">
        <v>2.14</v>
      </c>
      <c r="E866" s="4">
        <v>48</v>
      </c>
      <c r="F866" s="8">
        <v>3.83</v>
      </c>
      <c r="G866" s="4">
        <v>7</v>
      </c>
      <c r="H866" s="8">
        <v>0.54</v>
      </c>
      <c r="I866" s="4">
        <v>0</v>
      </c>
    </row>
    <row r="867" spans="1:9" x14ac:dyDescent="0.2">
      <c r="A867" s="2">
        <v>11</v>
      </c>
      <c r="B867" s="1" t="s">
        <v>176</v>
      </c>
      <c r="C867" s="4">
        <v>52</v>
      </c>
      <c r="D867" s="8">
        <v>2.02</v>
      </c>
      <c r="E867" s="4">
        <v>43</v>
      </c>
      <c r="F867" s="8">
        <v>3.43</v>
      </c>
      <c r="G867" s="4">
        <v>9</v>
      </c>
      <c r="H867" s="8">
        <v>0.69</v>
      </c>
      <c r="I867" s="4">
        <v>0</v>
      </c>
    </row>
    <row r="868" spans="1:9" x14ac:dyDescent="0.2">
      <c r="A868" s="2">
        <v>12</v>
      </c>
      <c r="B868" s="1" t="s">
        <v>188</v>
      </c>
      <c r="C868" s="4">
        <v>47</v>
      </c>
      <c r="D868" s="8">
        <v>1.82</v>
      </c>
      <c r="E868" s="4">
        <v>28</v>
      </c>
      <c r="F868" s="8">
        <v>2.2400000000000002</v>
      </c>
      <c r="G868" s="4">
        <v>19</v>
      </c>
      <c r="H868" s="8">
        <v>1.45</v>
      </c>
      <c r="I868" s="4">
        <v>0</v>
      </c>
    </row>
    <row r="869" spans="1:9" x14ac:dyDescent="0.2">
      <c r="A869" s="2">
        <v>13</v>
      </c>
      <c r="B869" s="1" t="s">
        <v>186</v>
      </c>
      <c r="C869" s="4">
        <v>45</v>
      </c>
      <c r="D869" s="8">
        <v>1.75</v>
      </c>
      <c r="E869" s="4">
        <v>16</v>
      </c>
      <c r="F869" s="8">
        <v>1.28</v>
      </c>
      <c r="G869" s="4">
        <v>29</v>
      </c>
      <c r="H869" s="8">
        <v>2.2200000000000002</v>
      </c>
      <c r="I869" s="4">
        <v>0</v>
      </c>
    </row>
    <row r="870" spans="1:9" x14ac:dyDescent="0.2">
      <c r="A870" s="2">
        <v>14</v>
      </c>
      <c r="B870" s="1" t="s">
        <v>185</v>
      </c>
      <c r="C870" s="4">
        <v>40</v>
      </c>
      <c r="D870" s="8">
        <v>1.55</v>
      </c>
      <c r="E870" s="4">
        <v>19</v>
      </c>
      <c r="F870" s="8">
        <v>1.52</v>
      </c>
      <c r="G870" s="4">
        <v>21</v>
      </c>
      <c r="H870" s="8">
        <v>1.61</v>
      </c>
      <c r="I870" s="4">
        <v>0</v>
      </c>
    </row>
    <row r="871" spans="1:9" x14ac:dyDescent="0.2">
      <c r="A871" s="2">
        <v>14</v>
      </c>
      <c r="B871" s="1" t="s">
        <v>170</v>
      </c>
      <c r="C871" s="4">
        <v>40</v>
      </c>
      <c r="D871" s="8">
        <v>1.55</v>
      </c>
      <c r="E871" s="4">
        <v>35</v>
      </c>
      <c r="F871" s="8">
        <v>2.8</v>
      </c>
      <c r="G871" s="4">
        <v>5</v>
      </c>
      <c r="H871" s="8">
        <v>0.38</v>
      </c>
      <c r="I871" s="4">
        <v>0</v>
      </c>
    </row>
    <row r="872" spans="1:9" x14ac:dyDescent="0.2">
      <c r="A872" s="2">
        <v>16</v>
      </c>
      <c r="B872" s="1" t="s">
        <v>161</v>
      </c>
      <c r="C872" s="4">
        <v>38</v>
      </c>
      <c r="D872" s="8">
        <v>1.48</v>
      </c>
      <c r="E872" s="4">
        <v>9</v>
      </c>
      <c r="F872" s="8">
        <v>0.72</v>
      </c>
      <c r="G872" s="4">
        <v>29</v>
      </c>
      <c r="H872" s="8">
        <v>2.2200000000000002</v>
      </c>
      <c r="I872" s="4">
        <v>0</v>
      </c>
    </row>
    <row r="873" spans="1:9" x14ac:dyDescent="0.2">
      <c r="A873" s="2">
        <v>16</v>
      </c>
      <c r="B873" s="1" t="s">
        <v>166</v>
      </c>
      <c r="C873" s="4">
        <v>38</v>
      </c>
      <c r="D873" s="8">
        <v>1.48</v>
      </c>
      <c r="E873" s="4">
        <v>3</v>
      </c>
      <c r="F873" s="8">
        <v>0.24</v>
      </c>
      <c r="G873" s="4">
        <v>35</v>
      </c>
      <c r="H873" s="8">
        <v>2.68</v>
      </c>
      <c r="I873" s="4">
        <v>0</v>
      </c>
    </row>
    <row r="874" spans="1:9" x14ac:dyDescent="0.2">
      <c r="A874" s="2">
        <v>18</v>
      </c>
      <c r="B874" s="1" t="s">
        <v>158</v>
      </c>
      <c r="C874" s="4">
        <v>37</v>
      </c>
      <c r="D874" s="8">
        <v>1.44</v>
      </c>
      <c r="E874" s="4">
        <v>4</v>
      </c>
      <c r="F874" s="8">
        <v>0.32</v>
      </c>
      <c r="G874" s="4">
        <v>33</v>
      </c>
      <c r="H874" s="8">
        <v>2.52</v>
      </c>
      <c r="I874" s="4">
        <v>0</v>
      </c>
    </row>
    <row r="875" spans="1:9" x14ac:dyDescent="0.2">
      <c r="A875" s="2">
        <v>18</v>
      </c>
      <c r="B875" s="1" t="s">
        <v>178</v>
      </c>
      <c r="C875" s="4">
        <v>37</v>
      </c>
      <c r="D875" s="8">
        <v>1.44</v>
      </c>
      <c r="E875" s="4">
        <v>9</v>
      </c>
      <c r="F875" s="8">
        <v>0.72</v>
      </c>
      <c r="G875" s="4">
        <v>28</v>
      </c>
      <c r="H875" s="8">
        <v>2.14</v>
      </c>
      <c r="I875" s="4">
        <v>0</v>
      </c>
    </row>
    <row r="876" spans="1:9" x14ac:dyDescent="0.2">
      <c r="A876" s="2">
        <v>20</v>
      </c>
      <c r="B876" s="1" t="s">
        <v>160</v>
      </c>
      <c r="C876" s="4">
        <v>36</v>
      </c>
      <c r="D876" s="8">
        <v>1.4</v>
      </c>
      <c r="E876" s="4">
        <v>8</v>
      </c>
      <c r="F876" s="8">
        <v>0.64</v>
      </c>
      <c r="G876" s="4">
        <v>28</v>
      </c>
      <c r="H876" s="8">
        <v>2.14</v>
      </c>
      <c r="I876" s="4">
        <v>0</v>
      </c>
    </row>
    <row r="877" spans="1:9" x14ac:dyDescent="0.2">
      <c r="A877" s="1"/>
      <c r="C877" s="4"/>
      <c r="D877" s="8"/>
      <c r="E877" s="4"/>
      <c r="F877" s="8"/>
      <c r="G877" s="4"/>
      <c r="H877" s="8"/>
      <c r="I877" s="4"/>
    </row>
    <row r="878" spans="1:9" x14ac:dyDescent="0.2">
      <c r="A878" s="1" t="s">
        <v>39</v>
      </c>
      <c r="C878" s="4"/>
      <c r="D878" s="8"/>
      <c r="E878" s="4"/>
      <c r="F878" s="8"/>
      <c r="G878" s="4"/>
      <c r="H878" s="8"/>
      <c r="I878" s="4"/>
    </row>
    <row r="879" spans="1:9" x14ac:dyDescent="0.2">
      <c r="A879" s="2">
        <v>1</v>
      </c>
      <c r="B879" s="1" t="s">
        <v>173</v>
      </c>
      <c r="C879" s="4">
        <v>62</v>
      </c>
      <c r="D879" s="8">
        <v>5.48</v>
      </c>
      <c r="E879" s="4">
        <v>52</v>
      </c>
      <c r="F879" s="8">
        <v>9.68</v>
      </c>
      <c r="G879" s="4">
        <v>10</v>
      </c>
      <c r="H879" s="8">
        <v>1.69</v>
      </c>
      <c r="I879" s="4">
        <v>0</v>
      </c>
    </row>
    <row r="880" spans="1:9" x14ac:dyDescent="0.2">
      <c r="A880" s="2">
        <v>2</v>
      </c>
      <c r="B880" s="1" t="s">
        <v>172</v>
      </c>
      <c r="C880" s="4">
        <v>51</v>
      </c>
      <c r="D880" s="8">
        <v>4.51</v>
      </c>
      <c r="E880" s="4">
        <v>44</v>
      </c>
      <c r="F880" s="8">
        <v>8.19</v>
      </c>
      <c r="G880" s="4">
        <v>7</v>
      </c>
      <c r="H880" s="8">
        <v>1.18</v>
      </c>
      <c r="I880" s="4">
        <v>0</v>
      </c>
    </row>
    <row r="881" spans="1:9" x14ac:dyDescent="0.2">
      <c r="A881" s="2">
        <v>3</v>
      </c>
      <c r="B881" s="1" t="s">
        <v>175</v>
      </c>
      <c r="C881" s="4">
        <v>43</v>
      </c>
      <c r="D881" s="8">
        <v>3.8</v>
      </c>
      <c r="E881" s="4">
        <v>38</v>
      </c>
      <c r="F881" s="8">
        <v>7.08</v>
      </c>
      <c r="G881" s="4">
        <v>5</v>
      </c>
      <c r="H881" s="8">
        <v>0.85</v>
      </c>
      <c r="I881" s="4">
        <v>0</v>
      </c>
    </row>
    <row r="882" spans="1:9" x14ac:dyDescent="0.2">
      <c r="A882" s="2">
        <v>4</v>
      </c>
      <c r="B882" s="1" t="s">
        <v>167</v>
      </c>
      <c r="C882" s="4">
        <v>36</v>
      </c>
      <c r="D882" s="8">
        <v>3.18</v>
      </c>
      <c r="E882" s="4">
        <v>19</v>
      </c>
      <c r="F882" s="8">
        <v>3.54</v>
      </c>
      <c r="G882" s="4">
        <v>16</v>
      </c>
      <c r="H882" s="8">
        <v>2.71</v>
      </c>
      <c r="I882" s="4">
        <v>0</v>
      </c>
    </row>
    <row r="883" spans="1:9" x14ac:dyDescent="0.2">
      <c r="A883" s="2">
        <v>5</v>
      </c>
      <c r="B883" s="1" t="s">
        <v>174</v>
      </c>
      <c r="C883" s="4">
        <v>27</v>
      </c>
      <c r="D883" s="8">
        <v>2.39</v>
      </c>
      <c r="E883" s="4">
        <v>21</v>
      </c>
      <c r="F883" s="8">
        <v>3.91</v>
      </c>
      <c r="G883" s="4">
        <v>6</v>
      </c>
      <c r="H883" s="8">
        <v>1.02</v>
      </c>
      <c r="I883" s="4">
        <v>0</v>
      </c>
    </row>
    <row r="884" spans="1:9" x14ac:dyDescent="0.2">
      <c r="A884" s="2">
        <v>6</v>
      </c>
      <c r="B884" s="1" t="s">
        <v>160</v>
      </c>
      <c r="C884" s="4">
        <v>26</v>
      </c>
      <c r="D884" s="8">
        <v>2.2999999999999998</v>
      </c>
      <c r="E884" s="4">
        <v>2</v>
      </c>
      <c r="F884" s="8">
        <v>0.37</v>
      </c>
      <c r="G884" s="4">
        <v>24</v>
      </c>
      <c r="H884" s="8">
        <v>4.0599999999999996</v>
      </c>
      <c r="I884" s="4">
        <v>0</v>
      </c>
    </row>
    <row r="885" spans="1:9" x14ac:dyDescent="0.2">
      <c r="A885" s="2">
        <v>6</v>
      </c>
      <c r="B885" s="1" t="s">
        <v>169</v>
      </c>
      <c r="C885" s="4">
        <v>26</v>
      </c>
      <c r="D885" s="8">
        <v>2.2999999999999998</v>
      </c>
      <c r="E885" s="4">
        <v>16</v>
      </c>
      <c r="F885" s="8">
        <v>2.98</v>
      </c>
      <c r="G885" s="4">
        <v>10</v>
      </c>
      <c r="H885" s="8">
        <v>1.69</v>
      </c>
      <c r="I885" s="4">
        <v>0</v>
      </c>
    </row>
    <row r="886" spans="1:9" x14ac:dyDescent="0.2">
      <c r="A886" s="2">
        <v>6</v>
      </c>
      <c r="B886" s="1" t="s">
        <v>170</v>
      </c>
      <c r="C886" s="4">
        <v>26</v>
      </c>
      <c r="D886" s="8">
        <v>2.2999999999999998</v>
      </c>
      <c r="E886" s="4">
        <v>24</v>
      </c>
      <c r="F886" s="8">
        <v>4.47</v>
      </c>
      <c r="G886" s="4">
        <v>2</v>
      </c>
      <c r="H886" s="8">
        <v>0.34</v>
      </c>
      <c r="I886" s="4">
        <v>0</v>
      </c>
    </row>
    <row r="887" spans="1:9" x14ac:dyDescent="0.2">
      <c r="A887" s="2">
        <v>9</v>
      </c>
      <c r="B887" s="1" t="s">
        <v>165</v>
      </c>
      <c r="C887" s="4">
        <v>25</v>
      </c>
      <c r="D887" s="8">
        <v>2.21</v>
      </c>
      <c r="E887" s="4">
        <v>4</v>
      </c>
      <c r="F887" s="8">
        <v>0.74</v>
      </c>
      <c r="G887" s="4">
        <v>21</v>
      </c>
      <c r="H887" s="8">
        <v>3.55</v>
      </c>
      <c r="I887" s="4">
        <v>0</v>
      </c>
    </row>
    <row r="888" spans="1:9" x14ac:dyDescent="0.2">
      <c r="A888" s="2">
        <v>10</v>
      </c>
      <c r="B888" s="1" t="s">
        <v>176</v>
      </c>
      <c r="C888" s="4">
        <v>22</v>
      </c>
      <c r="D888" s="8">
        <v>1.95</v>
      </c>
      <c r="E888" s="4">
        <v>12</v>
      </c>
      <c r="F888" s="8">
        <v>2.23</v>
      </c>
      <c r="G888" s="4">
        <v>10</v>
      </c>
      <c r="H888" s="8">
        <v>1.69</v>
      </c>
      <c r="I888" s="4">
        <v>0</v>
      </c>
    </row>
    <row r="889" spans="1:9" x14ac:dyDescent="0.2">
      <c r="A889" s="2">
        <v>11</v>
      </c>
      <c r="B889" s="1" t="s">
        <v>168</v>
      </c>
      <c r="C889" s="4">
        <v>21</v>
      </c>
      <c r="D889" s="8">
        <v>1.86</v>
      </c>
      <c r="E889" s="4">
        <v>3</v>
      </c>
      <c r="F889" s="8">
        <v>0.56000000000000005</v>
      </c>
      <c r="G889" s="4">
        <v>18</v>
      </c>
      <c r="H889" s="8">
        <v>3.05</v>
      </c>
      <c r="I889" s="4">
        <v>0</v>
      </c>
    </row>
    <row r="890" spans="1:9" x14ac:dyDescent="0.2">
      <c r="A890" s="2">
        <v>11</v>
      </c>
      <c r="B890" s="1" t="s">
        <v>171</v>
      </c>
      <c r="C890" s="4">
        <v>21</v>
      </c>
      <c r="D890" s="8">
        <v>1.86</v>
      </c>
      <c r="E890" s="4">
        <v>10</v>
      </c>
      <c r="F890" s="8">
        <v>1.86</v>
      </c>
      <c r="G890" s="4">
        <v>11</v>
      </c>
      <c r="H890" s="8">
        <v>1.86</v>
      </c>
      <c r="I890" s="4">
        <v>0</v>
      </c>
    </row>
    <row r="891" spans="1:9" x14ac:dyDescent="0.2">
      <c r="A891" s="2">
        <v>13</v>
      </c>
      <c r="B891" s="1" t="s">
        <v>161</v>
      </c>
      <c r="C891" s="4">
        <v>20</v>
      </c>
      <c r="D891" s="8">
        <v>1.77</v>
      </c>
      <c r="E891" s="4">
        <v>6</v>
      </c>
      <c r="F891" s="8">
        <v>1.1200000000000001</v>
      </c>
      <c r="G891" s="4">
        <v>14</v>
      </c>
      <c r="H891" s="8">
        <v>2.37</v>
      </c>
      <c r="I891" s="4">
        <v>0</v>
      </c>
    </row>
    <row r="892" spans="1:9" x14ac:dyDescent="0.2">
      <c r="A892" s="2">
        <v>14</v>
      </c>
      <c r="B892" s="1" t="s">
        <v>166</v>
      </c>
      <c r="C892" s="4">
        <v>18</v>
      </c>
      <c r="D892" s="8">
        <v>1.59</v>
      </c>
      <c r="E892" s="4">
        <v>3</v>
      </c>
      <c r="F892" s="8">
        <v>0.56000000000000005</v>
      </c>
      <c r="G892" s="4">
        <v>15</v>
      </c>
      <c r="H892" s="8">
        <v>2.54</v>
      </c>
      <c r="I892" s="4">
        <v>0</v>
      </c>
    </row>
    <row r="893" spans="1:9" x14ac:dyDescent="0.2">
      <c r="A893" s="2">
        <v>14</v>
      </c>
      <c r="B893" s="1" t="s">
        <v>178</v>
      </c>
      <c r="C893" s="4">
        <v>18</v>
      </c>
      <c r="D893" s="8">
        <v>1.59</v>
      </c>
      <c r="E893" s="4">
        <v>6</v>
      </c>
      <c r="F893" s="8">
        <v>1.1200000000000001</v>
      </c>
      <c r="G893" s="4">
        <v>12</v>
      </c>
      <c r="H893" s="8">
        <v>2.0299999999999998</v>
      </c>
      <c r="I893" s="4">
        <v>0</v>
      </c>
    </row>
    <row r="894" spans="1:9" x14ac:dyDescent="0.2">
      <c r="A894" s="2">
        <v>16</v>
      </c>
      <c r="B894" s="1" t="s">
        <v>209</v>
      </c>
      <c r="C894" s="4">
        <v>17</v>
      </c>
      <c r="D894" s="8">
        <v>1.5</v>
      </c>
      <c r="E894" s="4">
        <v>16</v>
      </c>
      <c r="F894" s="8">
        <v>2.98</v>
      </c>
      <c r="G894" s="4">
        <v>1</v>
      </c>
      <c r="H894" s="8">
        <v>0.17</v>
      </c>
      <c r="I894" s="4">
        <v>0</v>
      </c>
    </row>
    <row r="895" spans="1:9" x14ac:dyDescent="0.2">
      <c r="A895" s="2">
        <v>16</v>
      </c>
      <c r="B895" s="1" t="s">
        <v>179</v>
      </c>
      <c r="C895" s="4">
        <v>17</v>
      </c>
      <c r="D895" s="8">
        <v>1.5</v>
      </c>
      <c r="E895" s="4">
        <v>12</v>
      </c>
      <c r="F895" s="8">
        <v>2.23</v>
      </c>
      <c r="G895" s="4">
        <v>5</v>
      </c>
      <c r="H895" s="8">
        <v>0.85</v>
      </c>
      <c r="I895" s="4">
        <v>0</v>
      </c>
    </row>
    <row r="896" spans="1:9" x14ac:dyDescent="0.2">
      <c r="A896" s="2">
        <v>18</v>
      </c>
      <c r="B896" s="1" t="s">
        <v>159</v>
      </c>
      <c r="C896" s="4">
        <v>16</v>
      </c>
      <c r="D896" s="8">
        <v>1.41</v>
      </c>
      <c r="E896" s="4">
        <v>6</v>
      </c>
      <c r="F896" s="8">
        <v>1.1200000000000001</v>
      </c>
      <c r="G896" s="4">
        <v>10</v>
      </c>
      <c r="H896" s="8">
        <v>1.69</v>
      </c>
      <c r="I896" s="4">
        <v>0</v>
      </c>
    </row>
    <row r="897" spans="1:9" x14ac:dyDescent="0.2">
      <c r="A897" s="2">
        <v>18</v>
      </c>
      <c r="B897" s="1" t="s">
        <v>197</v>
      </c>
      <c r="C897" s="4">
        <v>16</v>
      </c>
      <c r="D897" s="8">
        <v>1.41</v>
      </c>
      <c r="E897" s="4">
        <v>4</v>
      </c>
      <c r="F897" s="8">
        <v>0.74</v>
      </c>
      <c r="G897" s="4">
        <v>12</v>
      </c>
      <c r="H897" s="8">
        <v>2.0299999999999998</v>
      </c>
      <c r="I897" s="4">
        <v>0</v>
      </c>
    </row>
    <row r="898" spans="1:9" x14ac:dyDescent="0.2">
      <c r="A898" s="2">
        <v>18</v>
      </c>
      <c r="B898" s="1" t="s">
        <v>164</v>
      </c>
      <c r="C898" s="4">
        <v>16</v>
      </c>
      <c r="D898" s="8">
        <v>1.41</v>
      </c>
      <c r="E898" s="4">
        <v>10</v>
      </c>
      <c r="F898" s="8">
        <v>1.86</v>
      </c>
      <c r="G898" s="4">
        <v>6</v>
      </c>
      <c r="H898" s="8">
        <v>1.02</v>
      </c>
      <c r="I898" s="4">
        <v>0</v>
      </c>
    </row>
    <row r="899" spans="1:9" x14ac:dyDescent="0.2">
      <c r="A899" s="1"/>
      <c r="C899" s="4"/>
      <c r="D899" s="8"/>
      <c r="E899" s="4"/>
      <c r="F899" s="8"/>
      <c r="G899" s="4"/>
      <c r="H899" s="8"/>
      <c r="I899" s="4"/>
    </row>
    <row r="900" spans="1:9" x14ac:dyDescent="0.2">
      <c r="A900" s="1" t="s">
        <v>40</v>
      </c>
      <c r="C900" s="4"/>
      <c r="D900" s="8"/>
      <c r="E900" s="4"/>
      <c r="F900" s="8"/>
      <c r="G900" s="4"/>
      <c r="H900" s="8"/>
      <c r="I900" s="4"/>
    </row>
    <row r="901" spans="1:9" x14ac:dyDescent="0.2">
      <c r="A901" s="2">
        <v>1</v>
      </c>
      <c r="B901" s="1" t="s">
        <v>200</v>
      </c>
      <c r="C901" s="4">
        <v>98</v>
      </c>
      <c r="D901" s="8">
        <v>3.7</v>
      </c>
      <c r="E901" s="4">
        <v>24</v>
      </c>
      <c r="F901" s="8">
        <v>2.61</v>
      </c>
      <c r="G901" s="4">
        <v>74</v>
      </c>
      <c r="H901" s="8">
        <v>4.29</v>
      </c>
      <c r="I901" s="4">
        <v>0</v>
      </c>
    </row>
    <row r="902" spans="1:9" x14ac:dyDescent="0.2">
      <c r="A902" s="2">
        <v>1</v>
      </c>
      <c r="B902" s="1" t="s">
        <v>167</v>
      </c>
      <c r="C902" s="4">
        <v>98</v>
      </c>
      <c r="D902" s="8">
        <v>3.7</v>
      </c>
      <c r="E902" s="4">
        <v>62</v>
      </c>
      <c r="F902" s="8">
        <v>6.73</v>
      </c>
      <c r="G902" s="4">
        <v>35</v>
      </c>
      <c r="H902" s="8">
        <v>2.0299999999999998</v>
      </c>
      <c r="I902" s="4">
        <v>0</v>
      </c>
    </row>
    <row r="903" spans="1:9" x14ac:dyDescent="0.2">
      <c r="A903" s="2">
        <v>3</v>
      </c>
      <c r="B903" s="1" t="s">
        <v>166</v>
      </c>
      <c r="C903" s="4">
        <v>62</v>
      </c>
      <c r="D903" s="8">
        <v>2.34</v>
      </c>
      <c r="E903" s="4">
        <v>27</v>
      </c>
      <c r="F903" s="8">
        <v>2.93</v>
      </c>
      <c r="G903" s="4">
        <v>35</v>
      </c>
      <c r="H903" s="8">
        <v>2.0299999999999998</v>
      </c>
      <c r="I903" s="4">
        <v>0</v>
      </c>
    </row>
    <row r="904" spans="1:9" x14ac:dyDescent="0.2">
      <c r="A904" s="2">
        <v>4</v>
      </c>
      <c r="B904" s="1" t="s">
        <v>161</v>
      </c>
      <c r="C904" s="4">
        <v>59</v>
      </c>
      <c r="D904" s="8">
        <v>2.23</v>
      </c>
      <c r="E904" s="4">
        <v>9</v>
      </c>
      <c r="F904" s="8">
        <v>0.98</v>
      </c>
      <c r="G904" s="4">
        <v>50</v>
      </c>
      <c r="H904" s="8">
        <v>2.9</v>
      </c>
      <c r="I904" s="4">
        <v>0</v>
      </c>
    </row>
    <row r="905" spans="1:9" x14ac:dyDescent="0.2">
      <c r="A905" s="2">
        <v>5</v>
      </c>
      <c r="B905" s="1" t="s">
        <v>173</v>
      </c>
      <c r="C905" s="4">
        <v>53</v>
      </c>
      <c r="D905" s="8">
        <v>2</v>
      </c>
      <c r="E905" s="4">
        <v>51</v>
      </c>
      <c r="F905" s="8">
        <v>5.54</v>
      </c>
      <c r="G905" s="4">
        <v>2</v>
      </c>
      <c r="H905" s="8">
        <v>0.12</v>
      </c>
      <c r="I905" s="4">
        <v>0</v>
      </c>
    </row>
    <row r="906" spans="1:9" x14ac:dyDescent="0.2">
      <c r="A906" s="2">
        <v>5</v>
      </c>
      <c r="B906" s="1" t="s">
        <v>176</v>
      </c>
      <c r="C906" s="4">
        <v>53</v>
      </c>
      <c r="D906" s="8">
        <v>2</v>
      </c>
      <c r="E906" s="4">
        <v>20</v>
      </c>
      <c r="F906" s="8">
        <v>2.17</v>
      </c>
      <c r="G906" s="4">
        <v>33</v>
      </c>
      <c r="H906" s="8">
        <v>1.92</v>
      </c>
      <c r="I906" s="4">
        <v>0</v>
      </c>
    </row>
    <row r="907" spans="1:9" x14ac:dyDescent="0.2">
      <c r="A907" s="2">
        <v>7</v>
      </c>
      <c r="B907" s="1" t="s">
        <v>160</v>
      </c>
      <c r="C907" s="4">
        <v>52</v>
      </c>
      <c r="D907" s="8">
        <v>1.96</v>
      </c>
      <c r="E907" s="4">
        <v>11</v>
      </c>
      <c r="F907" s="8">
        <v>1.19</v>
      </c>
      <c r="G907" s="4">
        <v>41</v>
      </c>
      <c r="H907" s="8">
        <v>2.38</v>
      </c>
      <c r="I907" s="4">
        <v>0</v>
      </c>
    </row>
    <row r="908" spans="1:9" x14ac:dyDescent="0.2">
      <c r="A908" s="2">
        <v>7</v>
      </c>
      <c r="B908" s="1" t="s">
        <v>172</v>
      </c>
      <c r="C908" s="4">
        <v>52</v>
      </c>
      <c r="D908" s="8">
        <v>1.96</v>
      </c>
      <c r="E908" s="4">
        <v>48</v>
      </c>
      <c r="F908" s="8">
        <v>5.21</v>
      </c>
      <c r="G908" s="4">
        <v>4</v>
      </c>
      <c r="H908" s="8">
        <v>0.23</v>
      </c>
      <c r="I908" s="4">
        <v>0</v>
      </c>
    </row>
    <row r="909" spans="1:9" x14ac:dyDescent="0.2">
      <c r="A909" s="2">
        <v>9</v>
      </c>
      <c r="B909" s="1" t="s">
        <v>197</v>
      </c>
      <c r="C909" s="4">
        <v>50</v>
      </c>
      <c r="D909" s="8">
        <v>1.89</v>
      </c>
      <c r="E909" s="4">
        <v>13</v>
      </c>
      <c r="F909" s="8">
        <v>1.41</v>
      </c>
      <c r="G909" s="4">
        <v>37</v>
      </c>
      <c r="H909" s="8">
        <v>2.15</v>
      </c>
      <c r="I909" s="4">
        <v>0</v>
      </c>
    </row>
    <row r="910" spans="1:9" x14ac:dyDescent="0.2">
      <c r="A910" s="2">
        <v>10</v>
      </c>
      <c r="B910" s="1" t="s">
        <v>163</v>
      </c>
      <c r="C910" s="4">
        <v>45</v>
      </c>
      <c r="D910" s="8">
        <v>1.7</v>
      </c>
      <c r="E910" s="4">
        <v>19</v>
      </c>
      <c r="F910" s="8">
        <v>2.06</v>
      </c>
      <c r="G910" s="4">
        <v>26</v>
      </c>
      <c r="H910" s="8">
        <v>1.51</v>
      </c>
      <c r="I910" s="4">
        <v>0</v>
      </c>
    </row>
    <row r="911" spans="1:9" x14ac:dyDescent="0.2">
      <c r="A911" s="2">
        <v>10</v>
      </c>
      <c r="B911" s="1" t="s">
        <v>170</v>
      </c>
      <c r="C911" s="4">
        <v>45</v>
      </c>
      <c r="D911" s="8">
        <v>1.7</v>
      </c>
      <c r="E911" s="4">
        <v>43</v>
      </c>
      <c r="F911" s="8">
        <v>4.67</v>
      </c>
      <c r="G911" s="4">
        <v>2</v>
      </c>
      <c r="H911" s="8">
        <v>0.12</v>
      </c>
      <c r="I911" s="4">
        <v>0</v>
      </c>
    </row>
    <row r="912" spans="1:9" x14ac:dyDescent="0.2">
      <c r="A912" s="2">
        <v>12</v>
      </c>
      <c r="B912" s="1" t="s">
        <v>182</v>
      </c>
      <c r="C912" s="4">
        <v>44</v>
      </c>
      <c r="D912" s="8">
        <v>1.66</v>
      </c>
      <c r="E912" s="4">
        <v>6</v>
      </c>
      <c r="F912" s="8">
        <v>0.65</v>
      </c>
      <c r="G912" s="4">
        <v>38</v>
      </c>
      <c r="H912" s="8">
        <v>2.21</v>
      </c>
      <c r="I912" s="4">
        <v>0</v>
      </c>
    </row>
    <row r="913" spans="1:9" x14ac:dyDescent="0.2">
      <c r="A913" s="2">
        <v>12</v>
      </c>
      <c r="B913" s="1" t="s">
        <v>214</v>
      </c>
      <c r="C913" s="4">
        <v>44</v>
      </c>
      <c r="D913" s="8">
        <v>1.66</v>
      </c>
      <c r="E913" s="4">
        <v>16</v>
      </c>
      <c r="F913" s="8">
        <v>1.74</v>
      </c>
      <c r="G913" s="4">
        <v>28</v>
      </c>
      <c r="H913" s="8">
        <v>1.63</v>
      </c>
      <c r="I913" s="4">
        <v>0</v>
      </c>
    </row>
    <row r="914" spans="1:9" x14ac:dyDescent="0.2">
      <c r="A914" s="2">
        <v>14</v>
      </c>
      <c r="B914" s="1" t="s">
        <v>212</v>
      </c>
      <c r="C914" s="4">
        <v>40</v>
      </c>
      <c r="D914" s="8">
        <v>1.51</v>
      </c>
      <c r="E914" s="4">
        <v>13</v>
      </c>
      <c r="F914" s="8">
        <v>1.41</v>
      </c>
      <c r="G914" s="4">
        <v>27</v>
      </c>
      <c r="H914" s="8">
        <v>1.57</v>
      </c>
      <c r="I914" s="4">
        <v>0</v>
      </c>
    </row>
    <row r="915" spans="1:9" x14ac:dyDescent="0.2">
      <c r="A915" s="2">
        <v>14</v>
      </c>
      <c r="B915" s="1" t="s">
        <v>213</v>
      </c>
      <c r="C915" s="4">
        <v>40</v>
      </c>
      <c r="D915" s="8">
        <v>1.51</v>
      </c>
      <c r="E915" s="4">
        <v>11</v>
      </c>
      <c r="F915" s="8">
        <v>1.19</v>
      </c>
      <c r="G915" s="4">
        <v>29</v>
      </c>
      <c r="H915" s="8">
        <v>1.68</v>
      </c>
      <c r="I915" s="4">
        <v>0</v>
      </c>
    </row>
    <row r="916" spans="1:9" x14ac:dyDescent="0.2">
      <c r="A916" s="2">
        <v>16</v>
      </c>
      <c r="B916" s="1" t="s">
        <v>210</v>
      </c>
      <c r="C916" s="4">
        <v>37</v>
      </c>
      <c r="D916" s="8">
        <v>1.4</v>
      </c>
      <c r="E916" s="4">
        <v>11</v>
      </c>
      <c r="F916" s="8">
        <v>1.19</v>
      </c>
      <c r="G916" s="4">
        <v>26</v>
      </c>
      <c r="H916" s="8">
        <v>1.51</v>
      </c>
      <c r="I916" s="4">
        <v>0</v>
      </c>
    </row>
    <row r="917" spans="1:9" x14ac:dyDescent="0.2">
      <c r="A917" s="2">
        <v>17</v>
      </c>
      <c r="B917" s="1" t="s">
        <v>177</v>
      </c>
      <c r="C917" s="4">
        <v>35</v>
      </c>
      <c r="D917" s="8">
        <v>1.32</v>
      </c>
      <c r="E917" s="4">
        <v>6</v>
      </c>
      <c r="F917" s="8">
        <v>0.65</v>
      </c>
      <c r="G917" s="4">
        <v>29</v>
      </c>
      <c r="H917" s="8">
        <v>1.68</v>
      </c>
      <c r="I917" s="4">
        <v>0</v>
      </c>
    </row>
    <row r="918" spans="1:9" x14ac:dyDescent="0.2">
      <c r="A918" s="2">
        <v>17</v>
      </c>
      <c r="B918" s="1" t="s">
        <v>211</v>
      </c>
      <c r="C918" s="4">
        <v>35</v>
      </c>
      <c r="D918" s="8">
        <v>1.32</v>
      </c>
      <c r="E918" s="4">
        <v>5</v>
      </c>
      <c r="F918" s="8">
        <v>0.54</v>
      </c>
      <c r="G918" s="4">
        <v>30</v>
      </c>
      <c r="H918" s="8">
        <v>1.74</v>
      </c>
      <c r="I918" s="4">
        <v>0</v>
      </c>
    </row>
    <row r="919" spans="1:9" x14ac:dyDescent="0.2">
      <c r="A919" s="2">
        <v>19</v>
      </c>
      <c r="B919" s="1" t="s">
        <v>157</v>
      </c>
      <c r="C919" s="4">
        <v>34</v>
      </c>
      <c r="D919" s="8">
        <v>1.28</v>
      </c>
      <c r="E919" s="4">
        <v>1</v>
      </c>
      <c r="F919" s="8">
        <v>0.11</v>
      </c>
      <c r="G919" s="4">
        <v>33</v>
      </c>
      <c r="H919" s="8">
        <v>1.92</v>
      </c>
      <c r="I919" s="4">
        <v>0</v>
      </c>
    </row>
    <row r="920" spans="1:9" x14ac:dyDescent="0.2">
      <c r="A920" s="2">
        <v>20</v>
      </c>
      <c r="B920" s="1" t="s">
        <v>158</v>
      </c>
      <c r="C920" s="4">
        <v>31</v>
      </c>
      <c r="D920" s="8">
        <v>1.17</v>
      </c>
      <c r="E920" s="4">
        <v>4</v>
      </c>
      <c r="F920" s="8">
        <v>0.43</v>
      </c>
      <c r="G920" s="4">
        <v>27</v>
      </c>
      <c r="H920" s="8">
        <v>1.57</v>
      </c>
      <c r="I920" s="4">
        <v>0</v>
      </c>
    </row>
    <row r="921" spans="1:9" x14ac:dyDescent="0.2">
      <c r="A921" s="2">
        <v>20</v>
      </c>
      <c r="B921" s="1" t="s">
        <v>174</v>
      </c>
      <c r="C921" s="4">
        <v>31</v>
      </c>
      <c r="D921" s="8">
        <v>1.17</v>
      </c>
      <c r="E921" s="4">
        <v>19</v>
      </c>
      <c r="F921" s="8">
        <v>2.06</v>
      </c>
      <c r="G921" s="4">
        <v>12</v>
      </c>
      <c r="H921" s="8">
        <v>0.7</v>
      </c>
      <c r="I921" s="4">
        <v>0</v>
      </c>
    </row>
    <row r="922" spans="1:9" x14ac:dyDescent="0.2">
      <c r="A922" s="1"/>
      <c r="C922" s="4"/>
      <c r="D922" s="8"/>
      <c r="E922" s="4"/>
      <c r="F922" s="8"/>
      <c r="G922" s="4"/>
      <c r="H922" s="8"/>
      <c r="I922" s="4"/>
    </row>
    <row r="923" spans="1:9" x14ac:dyDescent="0.2">
      <c r="A923" s="1" t="s">
        <v>41</v>
      </c>
      <c r="C923" s="4"/>
      <c r="D923" s="8"/>
      <c r="E923" s="4"/>
      <c r="F923" s="8"/>
      <c r="G923" s="4"/>
      <c r="H923" s="8"/>
      <c r="I923" s="4"/>
    </row>
    <row r="924" spans="1:9" x14ac:dyDescent="0.2">
      <c r="A924" s="2">
        <v>1</v>
      </c>
      <c r="B924" s="1" t="s">
        <v>173</v>
      </c>
      <c r="C924" s="4">
        <v>120</v>
      </c>
      <c r="D924" s="8">
        <v>7.22</v>
      </c>
      <c r="E924" s="4">
        <v>90</v>
      </c>
      <c r="F924" s="8">
        <v>12.26</v>
      </c>
      <c r="G924" s="4">
        <v>30</v>
      </c>
      <c r="H924" s="8">
        <v>3.25</v>
      </c>
      <c r="I924" s="4">
        <v>0</v>
      </c>
    </row>
    <row r="925" spans="1:9" x14ac:dyDescent="0.2">
      <c r="A925" s="2">
        <v>2</v>
      </c>
      <c r="B925" s="1" t="s">
        <v>167</v>
      </c>
      <c r="C925" s="4">
        <v>107</v>
      </c>
      <c r="D925" s="8">
        <v>6.44</v>
      </c>
      <c r="E925" s="4">
        <v>54</v>
      </c>
      <c r="F925" s="8">
        <v>7.36</v>
      </c>
      <c r="G925" s="4">
        <v>53</v>
      </c>
      <c r="H925" s="8">
        <v>5.75</v>
      </c>
      <c r="I925" s="4">
        <v>0</v>
      </c>
    </row>
    <row r="926" spans="1:9" x14ac:dyDescent="0.2">
      <c r="A926" s="2">
        <v>3</v>
      </c>
      <c r="B926" s="1" t="s">
        <v>170</v>
      </c>
      <c r="C926" s="4">
        <v>72</v>
      </c>
      <c r="D926" s="8">
        <v>4.33</v>
      </c>
      <c r="E926" s="4">
        <v>62</v>
      </c>
      <c r="F926" s="8">
        <v>8.4499999999999993</v>
      </c>
      <c r="G926" s="4">
        <v>10</v>
      </c>
      <c r="H926" s="8">
        <v>1.08</v>
      </c>
      <c r="I926" s="4">
        <v>0</v>
      </c>
    </row>
    <row r="927" spans="1:9" x14ac:dyDescent="0.2">
      <c r="A927" s="2">
        <v>4</v>
      </c>
      <c r="B927" s="1" t="s">
        <v>169</v>
      </c>
      <c r="C927" s="4">
        <v>65</v>
      </c>
      <c r="D927" s="8">
        <v>3.91</v>
      </c>
      <c r="E927" s="4">
        <v>47</v>
      </c>
      <c r="F927" s="8">
        <v>6.4</v>
      </c>
      <c r="G927" s="4">
        <v>18</v>
      </c>
      <c r="H927" s="8">
        <v>1.95</v>
      </c>
      <c r="I927" s="4">
        <v>0</v>
      </c>
    </row>
    <row r="928" spans="1:9" x14ac:dyDescent="0.2">
      <c r="A928" s="2">
        <v>5</v>
      </c>
      <c r="B928" s="1" t="s">
        <v>168</v>
      </c>
      <c r="C928" s="4">
        <v>54</v>
      </c>
      <c r="D928" s="8">
        <v>3.25</v>
      </c>
      <c r="E928" s="4">
        <v>2</v>
      </c>
      <c r="F928" s="8">
        <v>0.27</v>
      </c>
      <c r="G928" s="4">
        <v>52</v>
      </c>
      <c r="H928" s="8">
        <v>5.64</v>
      </c>
      <c r="I928" s="4">
        <v>0</v>
      </c>
    </row>
    <row r="929" spans="1:9" x14ac:dyDescent="0.2">
      <c r="A929" s="2">
        <v>6</v>
      </c>
      <c r="B929" s="1" t="s">
        <v>172</v>
      </c>
      <c r="C929" s="4">
        <v>51</v>
      </c>
      <c r="D929" s="8">
        <v>3.07</v>
      </c>
      <c r="E929" s="4">
        <v>48</v>
      </c>
      <c r="F929" s="8">
        <v>6.54</v>
      </c>
      <c r="G929" s="4">
        <v>3</v>
      </c>
      <c r="H929" s="8">
        <v>0.33</v>
      </c>
      <c r="I929" s="4">
        <v>0</v>
      </c>
    </row>
    <row r="930" spans="1:9" x14ac:dyDescent="0.2">
      <c r="A930" s="2">
        <v>6</v>
      </c>
      <c r="B930" s="1" t="s">
        <v>175</v>
      </c>
      <c r="C930" s="4">
        <v>51</v>
      </c>
      <c r="D930" s="8">
        <v>3.07</v>
      </c>
      <c r="E930" s="4">
        <v>45</v>
      </c>
      <c r="F930" s="8">
        <v>6.13</v>
      </c>
      <c r="G930" s="4">
        <v>6</v>
      </c>
      <c r="H930" s="8">
        <v>0.65</v>
      </c>
      <c r="I930" s="4">
        <v>0</v>
      </c>
    </row>
    <row r="931" spans="1:9" x14ac:dyDescent="0.2">
      <c r="A931" s="2">
        <v>8</v>
      </c>
      <c r="B931" s="1" t="s">
        <v>174</v>
      </c>
      <c r="C931" s="4">
        <v>40</v>
      </c>
      <c r="D931" s="8">
        <v>2.41</v>
      </c>
      <c r="E931" s="4">
        <v>32</v>
      </c>
      <c r="F931" s="8">
        <v>4.3600000000000003</v>
      </c>
      <c r="G931" s="4">
        <v>8</v>
      </c>
      <c r="H931" s="8">
        <v>0.87</v>
      </c>
      <c r="I931" s="4">
        <v>0</v>
      </c>
    </row>
    <row r="932" spans="1:9" x14ac:dyDescent="0.2">
      <c r="A932" s="2">
        <v>9</v>
      </c>
      <c r="B932" s="1" t="s">
        <v>166</v>
      </c>
      <c r="C932" s="4">
        <v>36</v>
      </c>
      <c r="D932" s="8">
        <v>2.17</v>
      </c>
      <c r="E932" s="4">
        <v>2</v>
      </c>
      <c r="F932" s="8">
        <v>0.27</v>
      </c>
      <c r="G932" s="4">
        <v>34</v>
      </c>
      <c r="H932" s="8">
        <v>3.69</v>
      </c>
      <c r="I932" s="4">
        <v>0</v>
      </c>
    </row>
    <row r="933" spans="1:9" x14ac:dyDescent="0.2">
      <c r="A933" s="2">
        <v>10</v>
      </c>
      <c r="B933" s="1" t="s">
        <v>165</v>
      </c>
      <c r="C933" s="4">
        <v>33</v>
      </c>
      <c r="D933" s="8">
        <v>1.99</v>
      </c>
      <c r="E933" s="4">
        <v>4</v>
      </c>
      <c r="F933" s="8">
        <v>0.54</v>
      </c>
      <c r="G933" s="4">
        <v>29</v>
      </c>
      <c r="H933" s="8">
        <v>3.15</v>
      </c>
      <c r="I933" s="4">
        <v>0</v>
      </c>
    </row>
    <row r="934" spans="1:9" x14ac:dyDescent="0.2">
      <c r="A934" s="2">
        <v>11</v>
      </c>
      <c r="B934" s="1" t="s">
        <v>160</v>
      </c>
      <c r="C934" s="4">
        <v>28</v>
      </c>
      <c r="D934" s="8">
        <v>1.69</v>
      </c>
      <c r="E934" s="4">
        <v>6</v>
      </c>
      <c r="F934" s="8">
        <v>0.82</v>
      </c>
      <c r="G934" s="4">
        <v>22</v>
      </c>
      <c r="H934" s="8">
        <v>2.39</v>
      </c>
      <c r="I934" s="4">
        <v>0</v>
      </c>
    </row>
    <row r="935" spans="1:9" x14ac:dyDescent="0.2">
      <c r="A935" s="2">
        <v>11</v>
      </c>
      <c r="B935" s="1" t="s">
        <v>161</v>
      </c>
      <c r="C935" s="4">
        <v>28</v>
      </c>
      <c r="D935" s="8">
        <v>1.69</v>
      </c>
      <c r="E935" s="4">
        <v>2</v>
      </c>
      <c r="F935" s="8">
        <v>0.27</v>
      </c>
      <c r="G935" s="4">
        <v>26</v>
      </c>
      <c r="H935" s="8">
        <v>2.82</v>
      </c>
      <c r="I935" s="4">
        <v>0</v>
      </c>
    </row>
    <row r="936" spans="1:9" x14ac:dyDescent="0.2">
      <c r="A936" s="2">
        <v>11</v>
      </c>
      <c r="B936" s="1" t="s">
        <v>186</v>
      </c>
      <c r="C936" s="4">
        <v>28</v>
      </c>
      <c r="D936" s="8">
        <v>1.69</v>
      </c>
      <c r="E936" s="4">
        <v>12</v>
      </c>
      <c r="F936" s="8">
        <v>1.63</v>
      </c>
      <c r="G936" s="4">
        <v>16</v>
      </c>
      <c r="H936" s="8">
        <v>1.74</v>
      </c>
      <c r="I936" s="4">
        <v>0</v>
      </c>
    </row>
    <row r="937" spans="1:9" x14ac:dyDescent="0.2">
      <c r="A937" s="2">
        <v>14</v>
      </c>
      <c r="B937" s="1" t="s">
        <v>171</v>
      </c>
      <c r="C937" s="4">
        <v>27</v>
      </c>
      <c r="D937" s="8">
        <v>1.63</v>
      </c>
      <c r="E937" s="4">
        <v>16</v>
      </c>
      <c r="F937" s="8">
        <v>2.1800000000000002</v>
      </c>
      <c r="G937" s="4">
        <v>11</v>
      </c>
      <c r="H937" s="8">
        <v>1.19</v>
      </c>
      <c r="I937" s="4">
        <v>0</v>
      </c>
    </row>
    <row r="938" spans="1:9" x14ac:dyDescent="0.2">
      <c r="A938" s="2">
        <v>15</v>
      </c>
      <c r="B938" s="1" t="s">
        <v>159</v>
      </c>
      <c r="C938" s="4">
        <v>25</v>
      </c>
      <c r="D938" s="8">
        <v>1.51</v>
      </c>
      <c r="E938" s="4">
        <v>11</v>
      </c>
      <c r="F938" s="8">
        <v>1.5</v>
      </c>
      <c r="G938" s="4">
        <v>14</v>
      </c>
      <c r="H938" s="8">
        <v>1.52</v>
      </c>
      <c r="I938" s="4">
        <v>0</v>
      </c>
    </row>
    <row r="939" spans="1:9" x14ac:dyDescent="0.2">
      <c r="A939" s="2">
        <v>15</v>
      </c>
      <c r="B939" s="1" t="s">
        <v>197</v>
      </c>
      <c r="C939" s="4">
        <v>25</v>
      </c>
      <c r="D939" s="8">
        <v>1.51</v>
      </c>
      <c r="E939" s="4">
        <v>11</v>
      </c>
      <c r="F939" s="8">
        <v>1.5</v>
      </c>
      <c r="G939" s="4">
        <v>14</v>
      </c>
      <c r="H939" s="8">
        <v>1.52</v>
      </c>
      <c r="I939" s="4">
        <v>0</v>
      </c>
    </row>
    <row r="940" spans="1:9" x14ac:dyDescent="0.2">
      <c r="A940" s="2">
        <v>15</v>
      </c>
      <c r="B940" s="1" t="s">
        <v>162</v>
      </c>
      <c r="C940" s="4">
        <v>25</v>
      </c>
      <c r="D940" s="8">
        <v>1.51</v>
      </c>
      <c r="E940" s="4">
        <v>17</v>
      </c>
      <c r="F940" s="8">
        <v>2.3199999999999998</v>
      </c>
      <c r="G940" s="4">
        <v>8</v>
      </c>
      <c r="H940" s="8">
        <v>0.87</v>
      </c>
      <c r="I940" s="4">
        <v>0</v>
      </c>
    </row>
    <row r="941" spans="1:9" x14ac:dyDescent="0.2">
      <c r="A941" s="2">
        <v>18</v>
      </c>
      <c r="B941" s="1" t="s">
        <v>164</v>
      </c>
      <c r="C941" s="4">
        <v>21</v>
      </c>
      <c r="D941" s="8">
        <v>1.26</v>
      </c>
      <c r="E941" s="4">
        <v>11</v>
      </c>
      <c r="F941" s="8">
        <v>1.5</v>
      </c>
      <c r="G941" s="4">
        <v>10</v>
      </c>
      <c r="H941" s="8">
        <v>1.08</v>
      </c>
      <c r="I941" s="4">
        <v>0</v>
      </c>
    </row>
    <row r="942" spans="1:9" x14ac:dyDescent="0.2">
      <c r="A942" s="2">
        <v>19</v>
      </c>
      <c r="B942" s="1" t="s">
        <v>182</v>
      </c>
      <c r="C942" s="4">
        <v>19</v>
      </c>
      <c r="D942" s="8">
        <v>1.1399999999999999</v>
      </c>
      <c r="E942" s="4">
        <v>4</v>
      </c>
      <c r="F942" s="8">
        <v>0.54</v>
      </c>
      <c r="G942" s="4">
        <v>15</v>
      </c>
      <c r="H942" s="8">
        <v>1.63</v>
      </c>
      <c r="I942" s="4">
        <v>0</v>
      </c>
    </row>
    <row r="943" spans="1:9" x14ac:dyDescent="0.2">
      <c r="A943" s="2">
        <v>19</v>
      </c>
      <c r="B943" s="1" t="s">
        <v>193</v>
      </c>
      <c r="C943" s="4">
        <v>19</v>
      </c>
      <c r="D943" s="8">
        <v>1.1399999999999999</v>
      </c>
      <c r="E943" s="4">
        <v>3</v>
      </c>
      <c r="F943" s="8">
        <v>0.41</v>
      </c>
      <c r="G943" s="4">
        <v>16</v>
      </c>
      <c r="H943" s="8">
        <v>1.74</v>
      </c>
      <c r="I943" s="4">
        <v>0</v>
      </c>
    </row>
    <row r="944" spans="1:9" x14ac:dyDescent="0.2">
      <c r="A944" s="2">
        <v>19</v>
      </c>
      <c r="B944" s="1" t="s">
        <v>179</v>
      </c>
      <c r="C944" s="4">
        <v>19</v>
      </c>
      <c r="D944" s="8">
        <v>1.1399999999999999</v>
      </c>
      <c r="E944" s="4">
        <v>11</v>
      </c>
      <c r="F944" s="8">
        <v>1.5</v>
      </c>
      <c r="G944" s="4">
        <v>8</v>
      </c>
      <c r="H944" s="8">
        <v>0.87</v>
      </c>
      <c r="I944" s="4">
        <v>0</v>
      </c>
    </row>
    <row r="945" spans="1:9" x14ac:dyDescent="0.2">
      <c r="A945" s="1"/>
      <c r="C945" s="4"/>
      <c r="D945" s="8"/>
      <c r="E945" s="4"/>
      <c r="F945" s="8"/>
      <c r="G945" s="4"/>
      <c r="H945" s="8"/>
      <c r="I945" s="4"/>
    </row>
    <row r="946" spans="1:9" x14ac:dyDescent="0.2">
      <c r="A946" s="1" t="s">
        <v>42</v>
      </c>
      <c r="C946" s="4"/>
      <c r="D946" s="8"/>
      <c r="E946" s="4"/>
      <c r="F946" s="8"/>
      <c r="G946" s="4"/>
      <c r="H946" s="8"/>
      <c r="I946" s="4"/>
    </row>
    <row r="947" spans="1:9" x14ac:dyDescent="0.2">
      <c r="A947" s="2">
        <v>1</v>
      </c>
      <c r="B947" s="1" t="s">
        <v>167</v>
      </c>
      <c r="C947" s="4">
        <v>150</v>
      </c>
      <c r="D947" s="8">
        <v>4.8600000000000003</v>
      </c>
      <c r="E947" s="4">
        <v>91</v>
      </c>
      <c r="F947" s="8">
        <v>7.44</v>
      </c>
      <c r="G947" s="4">
        <v>59</v>
      </c>
      <c r="H947" s="8">
        <v>3.2</v>
      </c>
      <c r="I947" s="4">
        <v>0</v>
      </c>
    </row>
    <row r="948" spans="1:9" x14ac:dyDescent="0.2">
      <c r="A948" s="2">
        <v>2</v>
      </c>
      <c r="B948" s="1" t="s">
        <v>166</v>
      </c>
      <c r="C948" s="4">
        <v>124</v>
      </c>
      <c r="D948" s="8">
        <v>4.0199999999999996</v>
      </c>
      <c r="E948" s="4">
        <v>50</v>
      </c>
      <c r="F948" s="8">
        <v>4.09</v>
      </c>
      <c r="G948" s="4">
        <v>74</v>
      </c>
      <c r="H948" s="8">
        <v>4.01</v>
      </c>
      <c r="I948" s="4">
        <v>0</v>
      </c>
    </row>
    <row r="949" spans="1:9" x14ac:dyDescent="0.2">
      <c r="A949" s="2">
        <v>3</v>
      </c>
      <c r="B949" s="1" t="s">
        <v>173</v>
      </c>
      <c r="C949" s="4">
        <v>86</v>
      </c>
      <c r="D949" s="8">
        <v>2.79</v>
      </c>
      <c r="E949" s="4">
        <v>75</v>
      </c>
      <c r="F949" s="8">
        <v>6.13</v>
      </c>
      <c r="G949" s="4">
        <v>11</v>
      </c>
      <c r="H949" s="8">
        <v>0.6</v>
      </c>
      <c r="I949" s="4">
        <v>0</v>
      </c>
    </row>
    <row r="950" spans="1:9" x14ac:dyDescent="0.2">
      <c r="A950" s="2">
        <v>4</v>
      </c>
      <c r="B950" s="1" t="s">
        <v>170</v>
      </c>
      <c r="C950" s="4">
        <v>85</v>
      </c>
      <c r="D950" s="8">
        <v>2.76</v>
      </c>
      <c r="E950" s="4">
        <v>76</v>
      </c>
      <c r="F950" s="8">
        <v>6.21</v>
      </c>
      <c r="G950" s="4">
        <v>9</v>
      </c>
      <c r="H950" s="8">
        <v>0.49</v>
      </c>
      <c r="I950" s="4">
        <v>0</v>
      </c>
    </row>
    <row r="951" spans="1:9" x14ac:dyDescent="0.2">
      <c r="A951" s="2">
        <v>5</v>
      </c>
      <c r="B951" s="1" t="s">
        <v>200</v>
      </c>
      <c r="C951" s="4">
        <v>65</v>
      </c>
      <c r="D951" s="8">
        <v>2.11</v>
      </c>
      <c r="E951" s="4">
        <v>15</v>
      </c>
      <c r="F951" s="8">
        <v>1.23</v>
      </c>
      <c r="G951" s="4">
        <v>50</v>
      </c>
      <c r="H951" s="8">
        <v>2.71</v>
      </c>
      <c r="I951" s="4">
        <v>0</v>
      </c>
    </row>
    <row r="952" spans="1:9" x14ac:dyDescent="0.2">
      <c r="A952" s="2">
        <v>6</v>
      </c>
      <c r="B952" s="1" t="s">
        <v>172</v>
      </c>
      <c r="C952" s="4">
        <v>64</v>
      </c>
      <c r="D952" s="8">
        <v>2.08</v>
      </c>
      <c r="E952" s="4">
        <v>56</v>
      </c>
      <c r="F952" s="8">
        <v>4.58</v>
      </c>
      <c r="G952" s="4">
        <v>8</v>
      </c>
      <c r="H952" s="8">
        <v>0.43</v>
      </c>
      <c r="I952" s="4">
        <v>0</v>
      </c>
    </row>
    <row r="953" spans="1:9" x14ac:dyDescent="0.2">
      <c r="A953" s="2">
        <v>7</v>
      </c>
      <c r="B953" s="1" t="s">
        <v>163</v>
      </c>
      <c r="C953" s="4">
        <v>60</v>
      </c>
      <c r="D953" s="8">
        <v>1.95</v>
      </c>
      <c r="E953" s="4">
        <v>23</v>
      </c>
      <c r="F953" s="8">
        <v>1.88</v>
      </c>
      <c r="G953" s="4">
        <v>37</v>
      </c>
      <c r="H953" s="8">
        <v>2.0099999999999998</v>
      </c>
      <c r="I953" s="4">
        <v>0</v>
      </c>
    </row>
    <row r="954" spans="1:9" x14ac:dyDescent="0.2">
      <c r="A954" s="2">
        <v>8</v>
      </c>
      <c r="B954" s="1" t="s">
        <v>214</v>
      </c>
      <c r="C954" s="4">
        <v>59</v>
      </c>
      <c r="D954" s="8">
        <v>1.91</v>
      </c>
      <c r="E954" s="4">
        <v>13</v>
      </c>
      <c r="F954" s="8">
        <v>1.06</v>
      </c>
      <c r="G954" s="4">
        <v>46</v>
      </c>
      <c r="H954" s="8">
        <v>2.4900000000000002</v>
      </c>
      <c r="I954" s="4">
        <v>0</v>
      </c>
    </row>
    <row r="955" spans="1:9" x14ac:dyDescent="0.2">
      <c r="A955" s="2">
        <v>9</v>
      </c>
      <c r="B955" s="1" t="s">
        <v>161</v>
      </c>
      <c r="C955" s="4">
        <v>57</v>
      </c>
      <c r="D955" s="8">
        <v>1.85</v>
      </c>
      <c r="E955" s="4">
        <v>12</v>
      </c>
      <c r="F955" s="8">
        <v>0.98</v>
      </c>
      <c r="G955" s="4">
        <v>45</v>
      </c>
      <c r="H955" s="8">
        <v>2.44</v>
      </c>
      <c r="I955" s="4">
        <v>0</v>
      </c>
    </row>
    <row r="956" spans="1:9" x14ac:dyDescent="0.2">
      <c r="A956" s="2">
        <v>10</v>
      </c>
      <c r="B956" s="1" t="s">
        <v>160</v>
      </c>
      <c r="C956" s="4">
        <v>53</v>
      </c>
      <c r="D956" s="8">
        <v>1.72</v>
      </c>
      <c r="E956" s="4">
        <v>7</v>
      </c>
      <c r="F956" s="8">
        <v>0.56999999999999995</v>
      </c>
      <c r="G956" s="4">
        <v>46</v>
      </c>
      <c r="H956" s="8">
        <v>2.4900000000000002</v>
      </c>
      <c r="I956" s="4">
        <v>0</v>
      </c>
    </row>
    <row r="957" spans="1:9" x14ac:dyDescent="0.2">
      <c r="A957" s="2">
        <v>10</v>
      </c>
      <c r="B957" s="1" t="s">
        <v>176</v>
      </c>
      <c r="C957" s="4">
        <v>53</v>
      </c>
      <c r="D957" s="8">
        <v>1.72</v>
      </c>
      <c r="E957" s="4">
        <v>35</v>
      </c>
      <c r="F957" s="8">
        <v>2.86</v>
      </c>
      <c r="G957" s="4">
        <v>18</v>
      </c>
      <c r="H957" s="8">
        <v>0.98</v>
      </c>
      <c r="I957" s="4">
        <v>0</v>
      </c>
    </row>
    <row r="958" spans="1:9" x14ac:dyDescent="0.2">
      <c r="A958" s="2">
        <v>12</v>
      </c>
      <c r="B958" s="1" t="s">
        <v>175</v>
      </c>
      <c r="C958" s="4">
        <v>46</v>
      </c>
      <c r="D958" s="8">
        <v>1.49</v>
      </c>
      <c r="E958" s="4">
        <v>36</v>
      </c>
      <c r="F958" s="8">
        <v>2.94</v>
      </c>
      <c r="G958" s="4">
        <v>10</v>
      </c>
      <c r="H958" s="8">
        <v>0.54</v>
      </c>
      <c r="I958" s="4">
        <v>0</v>
      </c>
    </row>
    <row r="959" spans="1:9" x14ac:dyDescent="0.2">
      <c r="A959" s="2">
        <v>13</v>
      </c>
      <c r="B959" s="1" t="s">
        <v>158</v>
      </c>
      <c r="C959" s="4">
        <v>44</v>
      </c>
      <c r="D959" s="8">
        <v>1.43</v>
      </c>
      <c r="E959" s="4">
        <v>4</v>
      </c>
      <c r="F959" s="8">
        <v>0.33</v>
      </c>
      <c r="G959" s="4">
        <v>40</v>
      </c>
      <c r="H959" s="8">
        <v>2.17</v>
      </c>
      <c r="I959" s="4">
        <v>0</v>
      </c>
    </row>
    <row r="960" spans="1:9" x14ac:dyDescent="0.2">
      <c r="A960" s="2">
        <v>13</v>
      </c>
      <c r="B960" s="1" t="s">
        <v>197</v>
      </c>
      <c r="C960" s="4">
        <v>44</v>
      </c>
      <c r="D960" s="8">
        <v>1.43</v>
      </c>
      <c r="E960" s="4">
        <v>13</v>
      </c>
      <c r="F960" s="8">
        <v>1.06</v>
      </c>
      <c r="G960" s="4">
        <v>31</v>
      </c>
      <c r="H960" s="8">
        <v>1.68</v>
      </c>
      <c r="I960" s="4">
        <v>0</v>
      </c>
    </row>
    <row r="961" spans="1:9" x14ac:dyDescent="0.2">
      <c r="A961" s="2">
        <v>13</v>
      </c>
      <c r="B961" s="1" t="s">
        <v>182</v>
      </c>
      <c r="C961" s="4">
        <v>44</v>
      </c>
      <c r="D961" s="8">
        <v>1.43</v>
      </c>
      <c r="E961" s="4">
        <v>9</v>
      </c>
      <c r="F961" s="8">
        <v>0.74</v>
      </c>
      <c r="G961" s="4">
        <v>34</v>
      </c>
      <c r="H961" s="8">
        <v>1.84</v>
      </c>
      <c r="I961" s="4">
        <v>1</v>
      </c>
    </row>
    <row r="962" spans="1:9" x14ac:dyDescent="0.2">
      <c r="A962" s="2">
        <v>13</v>
      </c>
      <c r="B962" s="1" t="s">
        <v>165</v>
      </c>
      <c r="C962" s="4">
        <v>44</v>
      </c>
      <c r="D962" s="8">
        <v>1.43</v>
      </c>
      <c r="E962" s="4">
        <v>4</v>
      </c>
      <c r="F962" s="8">
        <v>0.33</v>
      </c>
      <c r="G962" s="4">
        <v>40</v>
      </c>
      <c r="H962" s="8">
        <v>2.17</v>
      </c>
      <c r="I962" s="4">
        <v>0</v>
      </c>
    </row>
    <row r="963" spans="1:9" x14ac:dyDescent="0.2">
      <c r="A963" s="2">
        <v>13</v>
      </c>
      <c r="B963" s="1" t="s">
        <v>169</v>
      </c>
      <c r="C963" s="4">
        <v>44</v>
      </c>
      <c r="D963" s="8">
        <v>1.43</v>
      </c>
      <c r="E963" s="4">
        <v>34</v>
      </c>
      <c r="F963" s="8">
        <v>2.78</v>
      </c>
      <c r="G963" s="4">
        <v>10</v>
      </c>
      <c r="H963" s="8">
        <v>0.54</v>
      </c>
      <c r="I963" s="4">
        <v>0</v>
      </c>
    </row>
    <row r="964" spans="1:9" x14ac:dyDescent="0.2">
      <c r="A964" s="2">
        <v>18</v>
      </c>
      <c r="B964" s="1" t="s">
        <v>168</v>
      </c>
      <c r="C964" s="4">
        <v>43</v>
      </c>
      <c r="D964" s="8">
        <v>1.39</v>
      </c>
      <c r="E964" s="4">
        <v>0</v>
      </c>
      <c r="F964" s="8">
        <v>0</v>
      </c>
      <c r="G964" s="4">
        <v>43</v>
      </c>
      <c r="H964" s="8">
        <v>2.33</v>
      </c>
      <c r="I964" s="4">
        <v>0</v>
      </c>
    </row>
    <row r="965" spans="1:9" x14ac:dyDescent="0.2">
      <c r="A965" s="2">
        <v>19</v>
      </c>
      <c r="B965" s="1" t="s">
        <v>215</v>
      </c>
      <c r="C965" s="4">
        <v>39</v>
      </c>
      <c r="D965" s="8">
        <v>1.26</v>
      </c>
      <c r="E965" s="4">
        <v>18</v>
      </c>
      <c r="F965" s="8">
        <v>1.47</v>
      </c>
      <c r="G965" s="4">
        <v>21</v>
      </c>
      <c r="H965" s="8">
        <v>1.1399999999999999</v>
      </c>
      <c r="I965" s="4">
        <v>0</v>
      </c>
    </row>
    <row r="966" spans="1:9" x14ac:dyDescent="0.2">
      <c r="A966" s="2">
        <v>19</v>
      </c>
      <c r="B966" s="1" t="s">
        <v>174</v>
      </c>
      <c r="C966" s="4">
        <v>39</v>
      </c>
      <c r="D966" s="8">
        <v>1.26</v>
      </c>
      <c r="E966" s="4">
        <v>27</v>
      </c>
      <c r="F966" s="8">
        <v>2.21</v>
      </c>
      <c r="G966" s="4">
        <v>12</v>
      </c>
      <c r="H966" s="8">
        <v>0.65</v>
      </c>
      <c r="I966" s="4">
        <v>0</v>
      </c>
    </row>
    <row r="967" spans="1:9" x14ac:dyDescent="0.2">
      <c r="A967" s="1"/>
      <c r="C967" s="4"/>
      <c r="D967" s="8"/>
      <c r="E967" s="4"/>
      <c r="F967" s="8"/>
      <c r="G967" s="4"/>
      <c r="H967" s="8"/>
      <c r="I967" s="4"/>
    </row>
    <row r="968" spans="1:9" x14ac:dyDescent="0.2">
      <c r="A968" s="1" t="s">
        <v>43</v>
      </c>
      <c r="C968" s="4"/>
      <c r="D968" s="8"/>
      <c r="E968" s="4"/>
      <c r="F968" s="8"/>
      <c r="G968" s="4"/>
      <c r="H968" s="8"/>
      <c r="I968" s="4"/>
    </row>
    <row r="969" spans="1:9" x14ac:dyDescent="0.2">
      <c r="A969" s="2">
        <v>1</v>
      </c>
      <c r="B969" s="1" t="s">
        <v>173</v>
      </c>
      <c r="C969" s="4">
        <v>51</v>
      </c>
      <c r="D969" s="8">
        <v>5.04</v>
      </c>
      <c r="E969" s="4">
        <v>41</v>
      </c>
      <c r="F969" s="8">
        <v>8.6300000000000008</v>
      </c>
      <c r="G969" s="4">
        <v>10</v>
      </c>
      <c r="H969" s="8">
        <v>1.9</v>
      </c>
      <c r="I969" s="4">
        <v>0</v>
      </c>
    </row>
    <row r="970" spans="1:9" x14ac:dyDescent="0.2">
      <c r="A970" s="2">
        <v>2</v>
      </c>
      <c r="B970" s="1" t="s">
        <v>167</v>
      </c>
      <c r="C970" s="4">
        <v>43</v>
      </c>
      <c r="D970" s="8">
        <v>4.25</v>
      </c>
      <c r="E970" s="4">
        <v>20</v>
      </c>
      <c r="F970" s="8">
        <v>4.21</v>
      </c>
      <c r="G970" s="4">
        <v>23</v>
      </c>
      <c r="H970" s="8">
        <v>4.37</v>
      </c>
      <c r="I970" s="4">
        <v>0</v>
      </c>
    </row>
    <row r="971" spans="1:9" x14ac:dyDescent="0.2">
      <c r="A971" s="2">
        <v>3</v>
      </c>
      <c r="B971" s="1" t="s">
        <v>172</v>
      </c>
      <c r="C971" s="4">
        <v>38</v>
      </c>
      <c r="D971" s="8">
        <v>3.76</v>
      </c>
      <c r="E971" s="4">
        <v>35</v>
      </c>
      <c r="F971" s="8">
        <v>7.37</v>
      </c>
      <c r="G971" s="4">
        <v>3</v>
      </c>
      <c r="H971" s="8">
        <v>0.56999999999999995</v>
      </c>
      <c r="I971" s="4">
        <v>0</v>
      </c>
    </row>
    <row r="972" spans="1:9" x14ac:dyDescent="0.2">
      <c r="A972" s="2">
        <v>4</v>
      </c>
      <c r="B972" s="1" t="s">
        <v>174</v>
      </c>
      <c r="C972" s="4">
        <v>35</v>
      </c>
      <c r="D972" s="8">
        <v>3.46</v>
      </c>
      <c r="E972" s="4">
        <v>28</v>
      </c>
      <c r="F972" s="8">
        <v>5.89</v>
      </c>
      <c r="G972" s="4">
        <v>6</v>
      </c>
      <c r="H972" s="8">
        <v>1.1399999999999999</v>
      </c>
      <c r="I972" s="4">
        <v>1</v>
      </c>
    </row>
    <row r="973" spans="1:9" x14ac:dyDescent="0.2">
      <c r="A973" s="2">
        <v>5</v>
      </c>
      <c r="B973" s="1" t="s">
        <v>175</v>
      </c>
      <c r="C973" s="4">
        <v>31</v>
      </c>
      <c r="D973" s="8">
        <v>3.07</v>
      </c>
      <c r="E973" s="4">
        <v>24</v>
      </c>
      <c r="F973" s="8">
        <v>5.05</v>
      </c>
      <c r="G973" s="4">
        <v>7</v>
      </c>
      <c r="H973" s="8">
        <v>1.33</v>
      </c>
      <c r="I973" s="4">
        <v>0</v>
      </c>
    </row>
    <row r="974" spans="1:9" x14ac:dyDescent="0.2">
      <c r="A974" s="2">
        <v>6</v>
      </c>
      <c r="B974" s="1" t="s">
        <v>161</v>
      </c>
      <c r="C974" s="4">
        <v>25</v>
      </c>
      <c r="D974" s="8">
        <v>2.4700000000000002</v>
      </c>
      <c r="E974" s="4">
        <v>5</v>
      </c>
      <c r="F974" s="8">
        <v>1.05</v>
      </c>
      <c r="G974" s="4">
        <v>20</v>
      </c>
      <c r="H974" s="8">
        <v>3.8</v>
      </c>
      <c r="I974" s="4">
        <v>0</v>
      </c>
    </row>
    <row r="975" spans="1:9" x14ac:dyDescent="0.2">
      <c r="A975" s="2">
        <v>7</v>
      </c>
      <c r="B975" s="1" t="s">
        <v>169</v>
      </c>
      <c r="C975" s="4">
        <v>24</v>
      </c>
      <c r="D975" s="8">
        <v>2.37</v>
      </c>
      <c r="E975" s="4">
        <v>19</v>
      </c>
      <c r="F975" s="8">
        <v>4</v>
      </c>
      <c r="G975" s="4">
        <v>5</v>
      </c>
      <c r="H975" s="8">
        <v>0.95</v>
      </c>
      <c r="I975" s="4">
        <v>0</v>
      </c>
    </row>
    <row r="976" spans="1:9" x14ac:dyDescent="0.2">
      <c r="A976" s="2">
        <v>8</v>
      </c>
      <c r="B976" s="1" t="s">
        <v>163</v>
      </c>
      <c r="C976" s="4">
        <v>22</v>
      </c>
      <c r="D976" s="8">
        <v>2.1800000000000002</v>
      </c>
      <c r="E976" s="4">
        <v>6</v>
      </c>
      <c r="F976" s="8">
        <v>1.26</v>
      </c>
      <c r="G976" s="4">
        <v>16</v>
      </c>
      <c r="H976" s="8">
        <v>3.04</v>
      </c>
      <c r="I976" s="4">
        <v>0</v>
      </c>
    </row>
    <row r="977" spans="1:9" x14ac:dyDescent="0.2">
      <c r="A977" s="2">
        <v>8</v>
      </c>
      <c r="B977" s="1" t="s">
        <v>176</v>
      </c>
      <c r="C977" s="4">
        <v>22</v>
      </c>
      <c r="D977" s="8">
        <v>2.1800000000000002</v>
      </c>
      <c r="E977" s="4">
        <v>13</v>
      </c>
      <c r="F977" s="8">
        <v>2.74</v>
      </c>
      <c r="G977" s="4">
        <v>9</v>
      </c>
      <c r="H977" s="8">
        <v>1.71</v>
      </c>
      <c r="I977" s="4">
        <v>0</v>
      </c>
    </row>
    <row r="978" spans="1:9" x14ac:dyDescent="0.2">
      <c r="A978" s="2">
        <v>10</v>
      </c>
      <c r="B978" s="1" t="s">
        <v>170</v>
      </c>
      <c r="C978" s="4">
        <v>21</v>
      </c>
      <c r="D978" s="8">
        <v>2.08</v>
      </c>
      <c r="E978" s="4">
        <v>17</v>
      </c>
      <c r="F978" s="8">
        <v>3.58</v>
      </c>
      <c r="G978" s="4">
        <v>4</v>
      </c>
      <c r="H978" s="8">
        <v>0.76</v>
      </c>
      <c r="I978" s="4">
        <v>0</v>
      </c>
    </row>
    <row r="979" spans="1:9" x14ac:dyDescent="0.2">
      <c r="A979" s="2">
        <v>11</v>
      </c>
      <c r="B979" s="1" t="s">
        <v>157</v>
      </c>
      <c r="C979" s="4">
        <v>18</v>
      </c>
      <c r="D979" s="8">
        <v>1.78</v>
      </c>
      <c r="E979" s="4">
        <v>1</v>
      </c>
      <c r="F979" s="8">
        <v>0.21</v>
      </c>
      <c r="G979" s="4">
        <v>17</v>
      </c>
      <c r="H979" s="8">
        <v>3.23</v>
      </c>
      <c r="I979" s="4">
        <v>0</v>
      </c>
    </row>
    <row r="980" spans="1:9" x14ac:dyDescent="0.2">
      <c r="A980" s="2">
        <v>12</v>
      </c>
      <c r="B980" s="1" t="s">
        <v>171</v>
      </c>
      <c r="C980" s="4">
        <v>17</v>
      </c>
      <c r="D980" s="8">
        <v>1.68</v>
      </c>
      <c r="E980" s="4">
        <v>10</v>
      </c>
      <c r="F980" s="8">
        <v>2.11</v>
      </c>
      <c r="G980" s="4">
        <v>7</v>
      </c>
      <c r="H980" s="8">
        <v>1.33</v>
      </c>
      <c r="I980" s="4">
        <v>0</v>
      </c>
    </row>
    <row r="981" spans="1:9" x14ac:dyDescent="0.2">
      <c r="A981" s="2">
        <v>13</v>
      </c>
      <c r="B981" s="1" t="s">
        <v>159</v>
      </c>
      <c r="C981" s="4">
        <v>16</v>
      </c>
      <c r="D981" s="8">
        <v>1.58</v>
      </c>
      <c r="E981" s="4">
        <v>11</v>
      </c>
      <c r="F981" s="8">
        <v>2.3199999999999998</v>
      </c>
      <c r="G981" s="4">
        <v>5</v>
      </c>
      <c r="H981" s="8">
        <v>0.95</v>
      </c>
      <c r="I981" s="4">
        <v>0</v>
      </c>
    </row>
    <row r="982" spans="1:9" x14ac:dyDescent="0.2">
      <c r="A982" s="2">
        <v>13</v>
      </c>
      <c r="B982" s="1" t="s">
        <v>216</v>
      </c>
      <c r="C982" s="4">
        <v>16</v>
      </c>
      <c r="D982" s="8">
        <v>1.58</v>
      </c>
      <c r="E982" s="4">
        <v>8</v>
      </c>
      <c r="F982" s="8">
        <v>1.68</v>
      </c>
      <c r="G982" s="4">
        <v>8</v>
      </c>
      <c r="H982" s="8">
        <v>1.52</v>
      </c>
      <c r="I982" s="4">
        <v>0</v>
      </c>
    </row>
    <row r="983" spans="1:9" x14ac:dyDescent="0.2">
      <c r="A983" s="2">
        <v>13</v>
      </c>
      <c r="B983" s="1" t="s">
        <v>182</v>
      </c>
      <c r="C983" s="4">
        <v>16</v>
      </c>
      <c r="D983" s="8">
        <v>1.58</v>
      </c>
      <c r="E983" s="4">
        <v>7</v>
      </c>
      <c r="F983" s="8">
        <v>1.47</v>
      </c>
      <c r="G983" s="4">
        <v>9</v>
      </c>
      <c r="H983" s="8">
        <v>1.71</v>
      </c>
      <c r="I983" s="4">
        <v>0</v>
      </c>
    </row>
    <row r="984" spans="1:9" x14ac:dyDescent="0.2">
      <c r="A984" s="2">
        <v>13</v>
      </c>
      <c r="B984" s="1" t="s">
        <v>164</v>
      </c>
      <c r="C984" s="4">
        <v>16</v>
      </c>
      <c r="D984" s="8">
        <v>1.58</v>
      </c>
      <c r="E984" s="4">
        <v>12</v>
      </c>
      <c r="F984" s="8">
        <v>2.5299999999999998</v>
      </c>
      <c r="G984" s="4">
        <v>4</v>
      </c>
      <c r="H984" s="8">
        <v>0.76</v>
      </c>
      <c r="I984" s="4">
        <v>0</v>
      </c>
    </row>
    <row r="985" spans="1:9" x14ac:dyDescent="0.2">
      <c r="A985" s="2">
        <v>17</v>
      </c>
      <c r="B985" s="1" t="s">
        <v>166</v>
      </c>
      <c r="C985" s="4">
        <v>15</v>
      </c>
      <c r="D985" s="8">
        <v>1.48</v>
      </c>
      <c r="E985" s="4">
        <v>2</v>
      </c>
      <c r="F985" s="8">
        <v>0.42</v>
      </c>
      <c r="G985" s="4">
        <v>13</v>
      </c>
      <c r="H985" s="8">
        <v>2.4700000000000002</v>
      </c>
      <c r="I985" s="4">
        <v>0</v>
      </c>
    </row>
    <row r="986" spans="1:9" x14ac:dyDescent="0.2">
      <c r="A986" s="2">
        <v>18</v>
      </c>
      <c r="B986" s="1" t="s">
        <v>158</v>
      </c>
      <c r="C986" s="4">
        <v>14</v>
      </c>
      <c r="D986" s="8">
        <v>1.38</v>
      </c>
      <c r="E986" s="4">
        <v>0</v>
      </c>
      <c r="F986" s="8">
        <v>0</v>
      </c>
      <c r="G986" s="4">
        <v>14</v>
      </c>
      <c r="H986" s="8">
        <v>2.66</v>
      </c>
      <c r="I986" s="4">
        <v>0</v>
      </c>
    </row>
    <row r="987" spans="1:9" x14ac:dyDescent="0.2">
      <c r="A987" s="2">
        <v>18</v>
      </c>
      <c r="B987" s="1" t="s">
        <v>160</v>
      </c>
      <c r="C987" s="4">
        <v>14</v>
      </c>
      <c r="D987" s="8">
        <v>1.38</v>
      </c>
      <c r="E987" s="4">
        <v>2</v>
      </c>
      <c r="F987" s="8">
        <v>0.42</v>
      </c>
      <c r="G987" s="4">
        <v>12</v>
      </c>
      <c r="H987" s="8">
        <v>2.2799999999999998</v>
      </c>
      <c r="I987" s="4">
        <v>0</v>
      </c>
    </row>
    <row r="988" spans="1:9" x14ac:dyDescent="0.2">
      <c r="A988" s="2">
        <v>20</v>
      </c>
      <c r="B988" s="1" t="s">
        <v>162</v>
      </c>
      <c r="C988" s="4">
        <v>13</v>
      </c>
      <c r="D988" s="8">
        <v>1.29</v>
      </c>
      <c r="E988" s="4">
        <v>8</v>
      </c>
      <c r="F988" s="8">
        <v>1.68</v>
      </c>
      <c r="G988" s="4">
        <v>5</v>
      </c>
      <c r="H988" s="8">
        <v>0.95</v>
      </c>
      <c r="I988" s="4">
        <v>0</v>
      </c>
    </row>
    <row r="989" spans="1:9" x14ac:dyDescent="0.2">
      <c r="A989" s="2">
        <v>20</v>
      </c>
      <c r="B989" s="1" t="s">
        <v>168</v>
      </c>
      <c r="C989" s="4">
        <v>13</v>
      </c>
      <c r="D989" s="8">
        <v>1.29</v>
      </c>
      <c r="E989" s="4">
        <v>2</v>
      </c>
      <c r="F989" s="8">
        <v>0.42</v>
      </c>
      <c r="G989" s="4">
        <v>11</v>
      </c>
      <c r="H989" s="8">
        <v>2.09</v>
      </c>
      <c r="I989" s="4">
        <v>0</v>
      </c>
    </row>
    <row r="990" spans="1:9" x14ac:dyDescent="0.2">
      <c r="A990" s="2">
        <v>20</v>
      </c>
      <c r="B990" s="1" t="s">
        <v>178</v>
      </c>
      <c r="C990" s="4">
        <v>13</v>
      </c>
      <c r="D990" s="8">
        <v>1.29</v>
      </c>
      <c r="E990" s="4">
        <v>6</v>
      </c>
      <c r="F990" s="8">
        <v>1.26</v>
      </c>
      <c r="G990" s="4">
        <v>7</v>
      </c>
      <c r="H990" s="8">
        <v>1.33</v>
      </c>
      <c r="I990" s="4">
        <v>0</v>
      </c>
    </row>
    <row r="991" spans="1:9" x14ac:dyDescent="0.2">
      <c r="A991" s="2">
        <v>20</v>
      </c>
      <c r="B991" s="1" t="s">
        <v>192</v>
      </c>
      <c r="C991" s="4">
        <v>13</v>
      </c>
      <c r="D991" s="8">
        <v>1.29</v>
      </c>
      <c r="E991" s="4">
        <v>12</v>
      </c>
      <c r="F991" s="8">
        <v>2.5299999999999998</v>
      </c>
      <c r="G991" s="4">
        <v>1</v>
      </c>
      <c r="H991" s="8">
        <v>0.19</v>
      </c>
      <c r="I991" s="4">
        <v>0</v>
      </c>
    </row>
    <row r="992" spans="1:9" x14ac:dyDescent="0.2">
      <c r="A992" s="1"/>
      <c r="C992" s="4"/>
      <c r="D992" s="8"/>
      <c r="E992" s="4"/>
      <c r="F992" s="8"/>
      <c r="G992" s="4"/>
      <c r="H992" s="8"/>
      <c r="I992" s="4"/>
    </row>
    <row r="993" spans="1:9" x14ac:dyDescent="0.2">
      <c r="A993" s="1" t="s">
        <v>44</v>
      </c>
      <c r="C993" s="4"/>
      <c r="D993" s="8"/>
      <c r="E993" s="4"/>
      <c r="F993" s="8"/>
      <c r="G993" s="4"/>
      <c r="H993" s="8"/>
      <c r="I993" s="4"/>
    </row>
    <row r="994" spans="1:9" x14ac:dyDescent="0.2">
      <c r="A994" s="2">
        <v>1</v>
      </c>
      <c r="B994" s="1" t="s">
        <v>173</v>
      </c>
      <c r="C994" s="4">
        <v>98</v>
      </c>
      <c r="D994" s="8">
        <v>6.31</v>
      </c>
      <c r="E994" s="4">
        <v>89</v>
      </c>
      <c r="F994" s="8">
        <v>12.16</v>
      </c>
      <c r="G994" s="4">
        <v>9</v>
      </c>
      <c r="H994" s="8">
        <v>1.1100000000000001</v>
      </c>
      <c r="I994" s="4">
        <v>0</v>
      </c>
    </row>
    <row r="995" spans="1:9" x14ac:dyDescent="0.2">
      <c r="A995" s="2">
        <v>2</v>
      </c>
      <c r="B995" s="1" t="s">
        <v>170</v>
      </c>
      <c r="C995" s="4">
        <v>66</v>
      </c>
      <c r="D995" s="8">
        <v>4.25</v>
      </c>
      <c r="E995" s="4">
        <v>60</v>
      </c>
      <c r="F995" s="8">
        <v>8.1999999999999993</v>
      </c>
      <c r="G995" s="4">
        <v>6</v>
      </c>
      <c r="H995" s="8">
        <v>0.74</v>
      </c>
      <c r="I995" s="4">
        <v>0</v>
      </c>
    </row>
    <row r="996" spans="1:9" x14ac:dyDescent="0.2">
      <c r="A996" s="2">
        <v>3</v>
      </c>
      <c r="B996" s="1" t="s">
        <v>175</v>
      </c>
      <c r="C996" s="4">
        <v>64</v>
      </c>
      <c r="D996" s="8">
        <v>4.12</v>
      </c>
      <c r="E996" s="4">
        <v>56</v>
      </c>
      <c r="F996" s="8">
        <v>7.65</v>
      </c>
      <c r="G996" s="4">
        <v>8</v>
      </c>
      <c r="H996" s="8">
        <v>0.99</v>
      </c>
      <c r="I996" s="4">
        <v>0</v>
      </c>
    </row>
    <row r="997" spans="1:9" x14ac:dyDescent="0.2">
      <c r="A997" s="2">
        <v>4</v>
      </c>
      <c r="B997" s="1" t="s">
        <v>172</v>
      </c>
      <c r="C997" s="4">
        <v>63</v>
      </c>
      <c r="D997" s="8">
        <v>4.0599999999999996</v>
      </c>
      <c r="E997" s="4">
        <v>60</v>
      </c>
      <c r="F997" s="8">
        <v>8.1999999999999993</v>
      </c>
      <c r="G997" s="4">
        <v>3</v>
      </c>
      <c r="H997" s="8">
        <v>0.37</v>
      </c>
      <c r="I997" s="4">
        <v>0</v>
      </c>
    </row>
    <row r="998" spans="1:9" x14ac:dyDescent="0.2">
      <c r="A998" s="2">
        <v>5</v>
      </c>
      <c r="B998" s="1" t="s">
        <v>169</v>
      </c>
      <c r="C998" s="4">
        <v>59</v>
      </c>
      <c r="D998" s="8">
        <v>3.8</v>
      </c>
      <c r="E998" s="4">
        <v>48</v>
      </c>
      <c r="F998" s="8">
        <v>6.56</v>
      </c>
      <c r="G998" s="4">
        <v>11</v>
      </c>
      <c r="H998" s="8">
        <v>1.36</v>
      </c>
      <c r="I998" s="4">
        <v>0</v>
      </c>
    </row>
    <row r="999" spans="1:9" x14ac:dyDescent="0.2">
      <c r="A999" s="2">
        <v>6</v>
      </c>
      <c r="B999" s="1" t="s">
        <v>167</v>
      </c>
      <c r="C999" s="4">
        <v>52</v>
      </c>
      <c r="D999" s="8">
        <v>3.35</v>
      </c>
      <c r="E999" s="4">
        <v>17</v>
      </c>
      <c r="F999" s="8">
        <v>2.3199999999999998</v>
      </c>
      <c r="G999" s="4">
        <v>35</v>
      </c>
      <c r="H999" s="8">
        <v>4.33</v>
      </c>
      <c r="I999" s="4">
        <v>0</v>
      </c>
    </row>
    <row r="1000" spans="1:9" x14ac:dyDescent="0.2">
      <c r="A1000" s="2">
        <v>7</v>
      </c>
      <c r="B1000" s="1" t="s">
        <v>161</v>
      </c>
      <c r="C1000" s="4">
        <v>36</v>
      </c>
      <c r="D1000" s="8">
        <v>2.3199999999999998</v>
      </c>
      <c r="E1000" s="4">
        <v>5</v>
      </c>
      <c r="F1000" s="8">
        <v>0.68</v>
      </c>
      <c r="G1000" s="4">
        <v>31</v>
      </c>
      <c r="H1000" s="8">
        <v>3.83</v>
      </c>
      <c r="I1000" s="4">
        <v>0</v>
      </c>
    </row>
    <row r="1001" spans="1:9" x14ac:dyDescent="0.2">
      <c r="A1001" s="2">
        <v>8</v>
      </c>
      <c r="B1001" s="1" t="s">
        <v>160</v>
      </c>
      <c r="C1001" s="4">
        <v>33</v>
      </c>
      <c r="D1001" s="8">
        <v>2.13</v>
      </c>
      <c r="E1001" s="4">
        <v>4</v>
      </c>
      <c r="F1001" s="8">
        <v>0.55000000000000004</v>
      </c>
      <c r="G1001" s="4">
        <v>29</v>
      </c>
      <c r="H1001" s="8">
        <v>3.58</v>
      </c>
      <c r="I1001" s="4">
        <v>0</v>
      </c>
    </row>
    <row r="1002" spans="1:9" x14ac:dyDescent="0.2">
      <c r="A1002" s="2">
        <v>9</v>
      </c>
      <c r="B1002" s="1" t="s">
        <v>185</v>
      </c>
      <c r="C1002" s="4">
        <v>32</v>
      </c>
      <c r="D1002" s="8">
        <v>2.06</v>
      </c>
      <c r="E1002" s="4">
        <v>5</v>
      </c>
      <c r="F1002" s="8">
        <v>0.68</v>
      </c>
      <c r="G1002" s="4">
        <v>27</v>
      </c>
      <c r="H1002" s="8">
        <v>3.34</v>
      </c>
      <c r="I1002" s="4">
        <v>0</v>
      </c>
    </row>
    <row r="1003" spans="1:9" x14ac:dyDescent="0.2">
      <c r="A1003" s="2">
        <v>10</v>
      </c>
      <c r="B1003" s="1" t="s">
        <v>174</v>
      </c>
      <c r="C1003" s="4">
        <v>30</v>
      </c>
      <c r="D1003" s="8">
        <v>1.93</v>
      </c>
      <c r="E1003" s="4">
        <v>24</v>
      </c>
      <c r="F1003" s="8">
        <v>3.28</v>
      </c>
      <c r="G1003" s="4">
        <v>6</v>
      </c>
      <c r="H1003" s="8">
        <v>0.74</v>
      </c>
      <c r="I1003" s="4">
        <v>0</v>
      </c>
    </row>
    <row r="1004" spans="1:9" x14ac:dyDescent="0.2">
      <c r="A1004" s="2">
        <v>11</v>
      </c>
      <c r="B1004" s="1" t="s">
        <v>163</v>
      </c>
      <c r="C1004" s="4">
        <v>28</v>
      </c>
      <c r="D1004" s="8">
        <v>1.8</v>
      </c>
      <c r="E1004" s="4">
        <v>9</v>
      </c>
      <c r="F1004" s="8">
        <v>1.23</v>
      </c>
      <c r="G1004" s="4">
        <v>19</v>
      </c>
      <c r="H1004" s="8">
        <v>2.35</v>
      </c>
      <c r="I1004" s="4">
        <v>0</v>
      </c>
    </row>
    <row r="1005" spans="1:9" x14ac:dyDescent="0.2">
      <c r="A1005" s="2">
        <v>12</v>
      </c>
      <c r="B1005" s="1" t="s">
        <v>157</v>
      </c>
      <c r="C1005" s="4">
        <v>27</v>
      </c>
      <c r="D1005" s="8">
        <v>1.74</v>
      </c>
      <c r="E1005" s="4">
        <v>1</v>
      </c>
      <c r="F1005" s="8">
        <v>0.14000000000000001</v>
      </c>
      <c r="G1005" s="4">
        <v>26</v>
      </c>
      <c r="H1005" s="8">
        <v>3.21</v>
      </c>
      <c r="I1005" s="4">
        <v>0</v>
      </c>
    </row>
    <row r="1006" spans="1:9" x14ac:dyDescent="0.2">
      <c r="A1006" s="2">
        <v>13</v>
      </c>
      <c r="B1006" s="1" t="s">
        <v>159</v>
      </c>
      <c r="C1006" s="4">
        <v>26</v>
      </c>
      <c r="D1006" s="8">
        <v>1.68</v>
      </c>
      <c r="E1006" s="4">
        <v>7</v>
      </c>
      <c r="F1006" s="8">
        <v>0.96</v>
      </c>
      <c r="G1006" s="4">
        <v>19</v>
      </c>
      <c r="H1006" s="8">
        <v>2.35</v>
      </c>
      <c r="I1006" s="4">
        <v>0</v>
      </c>
    </row>
    <row r="1007" spans="1:9" x14ac:dyDescent="0.2">
      <c r="A1007" s="2">
        <v>13</v>
      </c>
      <c r="B1007" s="1" t="s">
        <v>165</v>
      </c>
      <c r="C1007" s="4">
        <v>26</v>
      </c>
      <c r="D1007" s="8">
        <v>1.68</v>
      </c>
      <c r="E1007" s="4">
        <v>3</v>
      </c>
      <c r="F1007" s="8">
        <v>0.41</v>
      </c>
      <c r="G1007" s="4">
        <v>23</v>
      </c>
      <c r="H1007" s="8">
        <v>2.84</v>
      </c>
      <c r="I1007" s="4">
        <v>0</v>
      </c>
    </row>
    <row r="1008" spans="1:9" x14ac:dyDescent="0.2">
      <c r="A1008" s="2">
        <v>15</v>
      </c>
      <c r="B1008" s="1" t="s">
        <v>171</v>
      </c>
      <c r="C1008" s="4">
        <v>25</v>
      </c>
      <c r="D1008" s="8">
        <v>1.61</v>
      </c>
      <c r="E1008" s="4">
        <v>17</v>
      </c>
      <c r="F1008" s="8">
        <v>2.3199999999999998</v>
      </c>
      <c r="G1008" s="4">
        <v>8</v>
      </c>
      <c r="H1008" s="8">
        <v>0.99</v>
      </c>
      <c r="I1008" s="4">
        <v>0</v>
      </c>
    </row>
    <row r="1009" spans="1:9" x14ac:dyDescent="0.2">
      <c r="A1009" s="2">
        <v>16</v>
      </c>
      <c r="B1009" s="1" t="s">
        <v>162</v>
      </c>
      <c r="C1009" s="4">
        <v>22</v>
      </c>
      <c r="D1009" s="8">
        <v>1.42</v>
      </c>
      <c r="E1009" s="4">
        <v>12</v>
      </c>
      <c r="F1009" s="8">
        <v>1.64</v>
      </c>
      <c r="G1009" s="4">
        <v>10</v>
      </c>
      <c r="H1009" s="8">
        <v>1.24</v>
      </c>
      <c r="I1009" s="4">
        <v>0</v>
      </c>
    </row>
    <row r="1010" spans="1:9" x14ac:dyDescent="0.2">
      <c r="A1010" s="2">
        <v>16</v>
      </c>
      <c r="B1010" s="1" t="s">
        <v>164</v>
      </c>
      <c r="C1010" s="4">
        <v>22</v>
      </c>
      <c r="D1010" s="8">
        <v>1.42</v>
      </c>
      <c r="E1010" s="4">
        <v>10</v>
      </c>
      <c r="F1010" s="8">
        <v>1.37</v>
      </c>
      <c r="G1010" s="4">
        <v>12</v>
      </c>
      <c r="H1010" s="8">
        <v>1.48</v>
      </c>
      <c r="I1010" s="4">
        <v>0</v>
      </c>
    </row>
    <row r="1011" spans="1:9" x14ac:dyDescent="0.2">
      <c r="A1011" s="2">
        <v>16</v>
      </c>
      <c r="B1011" s="1" t="s">
        <v>179</v>
      </c>
      <c r="C1011" s="4">
        <v>22</v>
      </c>
      <c r="D1011" s="8">
        <v>1.42</v>
      </c>
      <c r="E1011" s="4">
        <v>12</v>
      </c>
      <c r="F1011" s="8">
        <v>1.64</v>
      </c>
      <c r="G1011" s="4">
        <v>10</v>
      </c>
      <c r="H1011" s="8">
        <v>1.24</v>
      </c>
      <c r="I1011" s="4">
        <v>0</v>
      </c>
    </row>
    <row r="1012" spans="1:9" x14ac:dyDescent="0.2">
      <c r="A1012" s="2">
        <v>19</v>
      </c>
      <c r="B1012" s="1" t="s">
        <v>181</v>
      </c>
      <c r="C1012" s="4">
        <v>21</v>
      </c>
      <c r="D1012" s="8">
        <v>1.35</v>
      </c>
      <c r="E1012" s="4">
        <v>10</v>
      </c>
      <c r="F1012" s="8">
        <v>1.37</v>
      </c>
      <c r="G1012" s="4">
        <v>11</v>
      </c>
      <c r="H1012" s="8">
        <v>1.36</v>
      </c>
      <c r="I1012" s="4">
        <v>0</v>
      </c>
    </row>
    <row r="1013" spans="1:9" x14ac:dyDescent="0.2">
      <c r="A1013" s="2">
        <v>20</v>
      </c>
      <c r="B1013" s="1" t="s">
        <v>166</v>
      </c>
      <c r="C1013" s="4">
        <v>20</v>
      </c>
      <c r="D1013" s="8">
        <v>1.29</v>
      </c>
      <c r="E1013" s="4">
        <v>0</v>
      </c>
      <c r="F1013" s="8">
        <v>0</v>
      </c>
      <c r="G1013" s="4">
        <v>20</v>
      </c>
      <c r="H1013" s="8">
        <v>2.4700000000000002</v>
      </c>
      <c r="I1013" s="4">
        <v>0</v>
      </c>
    </row>
    <row r="1014" spans="1:9" x14ac:dyDescent="0.2">
      <c r="A1014" s="2">
        <v>20</v>
      </c>
      <c r="B1014" s="1" t="s">
        <v>178</v>
      </c>
      <c r="C1014" s="4">
        <v>20</v>
      </c>
      <c r="D1014" s="8">
        <v>1.29</v>
      </c>
      <c r="E1014" s="4">
        <v>5</v>
      </c>
      <c r="F1014" s="8">
        <v>0.68</v>
      </c>
      <c r="G1014" s="4">
        <v>15</v>
      </c>
      <c r="H1014" s="8">
        <v>1.85</v>
      </c>
      <c r="I1014" s="4">
        <v>0</v>
      </c>
    </row>
    <row r="1015" spans="1:9" x14ac:dyDescent="0.2">
      <c r="A1015" s="2">
        <v>20</v>
      </c>
      <c r="B1015" s="1" t="s">
        <v>192</v>
      </c>
      <c r="C1015" s="4">
        <v>20</v>
      </c>
      <c r="D1015" s="8">
        <v>1.29</v>
      </c>
      <c r="E1015" s="4">
        <v>18</v>
      </c>
      <c r="F1015" s="8">
        <v>2.46</v>
      </c>
      <c r="G1015" s="4">
        <v>2</v>
      </c>
      <c r="H1015" s="8">
        <v>0.25</v>
      </c>
      <c r="I1015" s="4">
        <v>0</v>
      </c>
    </row>
    <row r="1016" spans="1:9" x14ac:dyDescent="0.2">
      <c r="A1016" s="1"/>
      <c r="C1016" s="4"/>
      <c r="D1016" s="8"/>
      <c r="E1016" s="4"/>
      <c r="F1016" s="8"/>
      <c r="G1016" s="4"/>
      <c r="H1016" s="8"/>
      <c r="I1016" s="4"/>
    </row>
    <row r="1017" spans="1:9" x14ac:dyDescent="0.2">
      <c r="A1017" s="1" t="s">
        <v>45</v>
      </c>
      <c r="C1017" s="4"/>
      <c r="D1017" s="8"/>
      <c r="E1017" s="4"/>
      <c r="F1017" s="8"/>
      <c r="G1017" s="4"/>
      <c r="H1017" s="8"/>
      <c r="I1017" s="4"/>
    </row>
    <row r="1018" spans="1:9" x14ac:dyDescent="0.2">
      <c r="A1018" s="2">
        <v>1</v>
      </c>
      <c r="B1018" s="1" t="s">
        <v>167</v>
      </c>
      <c r="C1018" s="4">
        <v>78</v>
      </c>
      <c r="D1018" s="8">
        <v>6.53</v>
      </c>
      <c r="E1018" s="4">
        <v>70</v>
      </c>
      <c r="F1018" s="8">
        <v>9.3699999999999992</v>
      </c>
      <c r="G1018" s="4">
        <v>8</v>
      </c>
      <c r="H1018" s="8">
        <v>1.84</v>
      </c>
      <c r="I1018" s="4">
        <v>0</v>
      </c>
    </row>
    <row r="1019" spans="1:9" x14ac:dyDescent="0.2">
      <c r="A1019" s="2">
        <v>2</v>
      </c>
      <c r="B1019" s="1" t="s">
        <v>173</v>
      </c>
      <c r="C1019" s="4">
        <v>54</v>
      </c>
      <c r="D1019" s="8">
        <v>4.5199999999999996</v>
      </c>
      <c r="E1019" s="4">
        <v>50</v>
      </c>
      <c r="F1019" s="8">
        <v>6.69</v>
      </c>
      <c r="G1019" s="4">
        <v>4</v>
      </c>
      <c r="H1019" s="8">
        <v>0.92</v>
      </c>
      <c r="I1019" s="4">
        <v>0</v>
      </c>
    </row>
    <row r="1020" spans="1:9" x14ac:dyDescent="0.2">
      <c r="A1020" s="2">
        <v>3</v>
      </c>
      <c r="B1020" s="1" t="s">
        <v>189</v>
      </c>
      <c r="C1020" s="4">
        <v>48</v>
      </c>
      <c r="D1020" s="8">
        <v>4.0199999999999996</v>
      </c>
      <c r="E1020" s="4">
        <v>46</v>
      </c>
      <c r="F1020" s="8">
        <v>6.16</v>
      </c>
      <c r="G1020" s="4">
        <v>2</v>
      </c>
      <c r="H1020" s="8">
        <v>0.46</v>
      </c>
      <c r="I1020" s="4">
        <v>0</v>
      </c>
    </row>
    <row r="1021" spans="1:9" x14ac:dyDescent="0.2">
      <c r="A1021" s="2">
        <v>4</v>
      </c>
      <c r="B1021" s="1" t="s">
        <v>174</v>
      </c>
      <c r="C1021" s="4">
        <v>40</v>
      </c>
      <c r="D1021" s="8">
        <v>3.35</v>
      </c>
      <c r="E1021" s="4">
        <v>37</v>
      </c>
      <c r="F1021" s="8">
        <v>4.95</v>
      </c>
      <c r="G1021" s="4">
        <v>3</v>
      </c>
      <c r="H1021" s="8">
        <v>0.69</v>
      </c>
      <c r="I1021" s="4">
        <v>0</v>
      </c>
    </row>
    <row r="1022" spans="1:9" x14ac:dyDescent="0.2">
      <c r="A1022" s="2">
        <v>5</v>
      </c>
      <c r="B1022" s="1" t="s">
        <v>170</v>
      </c>
      <c r="C1022" s="4">
        <v>38</v>
      </c>
      <c r="D1022" s="8">
        <v>3.18</v>
      </c>
      <c r="E1022" s="4">
        <v>37</v>
      </c>
      <c r="F1022" s="8">
        <v>4.95</v>
      </c>
      <c r="G1022" s="4">
        <v>1</v>
      </c>
      <c r="H1022" s="8">
        <v>0.23</v>
      </c>
      <c r="I1022" s="4">
        <v>0</v>
      </c>
    </row>
    <row r="1023" spans="1:9" x14ac:dyDescent="0.2">
      <c r="A1023" s="2">
        <v>6</v>
      </c>
      <c r="B1023" s="1" t="s">
        <v>172</v>
      </c>
      <c r="C1023" s="4">
        <v>36</v>
      </c>
      <c r="D1023" s="8">
        <v>3.01</v>
      </c>
      <c r="E1023" s="4">
        <v>34</v>
      </c>
      <c r="F1023" s="8">
        <v>4.55</v>
      </c>
      <c r="G1023" s="4">
        <v>2</v>
      </c>
      <c r="H1023" s="8">
        <v>0.46</v>
      </c>
      <c r="I1023" s="4">
        <v>0</v>
      </c>
    </row>
    <row r="1024" spans="1:9" x14ac:dyDescent="0.2">
      <c r="A1024" s="2">
        <v>7</v>
      </c>
      <c r="B1024" s="1" t="s">
        <v>176</v>
      </c>
      <c r="C1024" s="4">
        <v>35</v>
      </c>
      <c r="D1024" s="8">
        <v>2.93</v>
      </c>
      <c r="E1024" s="4">
        <v>27</v>
      </c>
      <c r="F1024" s="8">
        <v>3.61</v>
      </c>
      <c r="G1024" s="4">
        <v>8</v>
      </c>
      <c r="H1024" s="8">
        <v>1.84</v>
      </c>
      <c r="I1024" s="4">
        <v>0</v>
      </c>
    </row>
    <row r="1025" spans="1:9" x14ac:dyDescent="0.2">
      <c r="A1025" s="2">
        <v>8</v>
      </c>
      <c r="B1025" s="1" t="s">
        <v>159</v>
      </c>
      <c r="C1025" s="4">
        <v>32</v>
      </c>
      <c r="D1025" s="8">
        <v>2.68</v>
      </c>
      <c r="E1025" s="4">
        <v>20</v>
      </c>
      <c r="F1025" s="8">
        <v>2.68</v>
      </c>
      <c r="G1025" s="4">
        <v>12</v>
      </c>
      <c r="H1025" s="8">
        <v>2.76</v>
      </c>
      <c r="I1025" s="4">
        <v>0</v>
      </c>
    </row>
    <row r="1026" spans="1:9" x14ac:dyDescent="0.2">
      <c r="A1026" s="2">
        <v>9</v>
      </c>
      <c r="B1026" s="1" t="s">
        <v>175</v>
      </c>
      <c r="C1026" s="4">
        <v>28</v>
      </c>
      <c r="D1026" s="8">
        <v>2.34</v>
      </c>
      <c r="E1026" s="4">
        <v>25</v>
      </c>
      <c r="F1026" s="8">
        <v>3.35</v>
      </c>
      <c r="G1026" s="4">
        <v>3</v>
      </c>
      <c r="H1026" s="8">
        <v>0.69</v>
      </c>
      <c r="I1026" s="4">
        <v>0</v>
      </c>
    </row>
    <row r="1027" spans="1:9" x14ac:dyDescent="0.2">
      <c r="A1027" s="2">
        <v>10</v>
      </c>
      <c r="B1027" s="1" t="s">
        <v>166</v>
      </c>
      <c r="C1027" s="4">
        <v>25</v>
      </c>
      <c r="D1027" s="8">
        <v>2.09</v>
      </c>
      <c r="E1027" s="4">
        <v>18</v>
      </c>
      <c r="F1027" s="8">
        <v>2.41</v>
      </c>
      <c r="G1027" s="4">
        <v>7</v>
      </c>
      <c r="H1027" s="8">
        <v>1.61</v>
      </c>
      <c r="I1027" s="4">
        <v>0</v>
      </c>
    </row>
    <row r="1028" spans="1:9" x14ac:dyDescent="0.2">
      <c r="A1028" s="2">
        <v>11</v>
      </c>
      <c r="B1028" s="1" t="s">
        <v>163</v>
      </c>
      <c r="C1028" s="4">
        <v>24</v>
      </c>
      <c r="D1028" s="8">
        <v>2.0099999999999998</v>
      </c>
      <c r="E1028" s="4">
        <v>13</v>
      </c>
      <c r="F1028" s="8">
        <v>1.74</v>
      </c>
      <c r="G1028" s="4">
        <v>11</v>
      </c>
      <c r="H1028" s="8">
        <v>2.5299999999999998</v>
      </c>
      <c r="I1028" s="4">
        <v>0</v>
      </c>
    </row>
    <row r="1029" spans="1:9" x14ac:dyDescent="0.2">
      <c r="A1029" s="2">
        <v>11</v>
      </c>
      <c r="B1029" s="1" t="s">
        <v>169</v>
      </c>
      <c r="C1029" s="4">
        <v>24</v>
      </c>
      <c r="D1029" s="8">
        <v>2.0099999999999998</v>
      </c>
      <c r="E1029" s="4">
        <v>21</v>
      </c>
      <c r="F1029" s="8">
        <v>2.81</v>
      </c>
      <c r="G1029" s="4">
        <v>3</v>
      </c>
      <c r="H1029" s="8">
        <v>0.69</v>
      </c>
      <c r="I1029" s="4">
        <v>0</v>
      </c>
    </row>
    <row r="1030" spans="1:9" x14ac:dyDescent="0.2">
      <c r="A1030" s="2">
        <v>13</v>
      </c>
      <c r="B1030" s="1" t="s">
        <v>185</v>
      </c>
      <c r="C1030" s="4">
        <v>21</v>
      </c>
      <c r="D1030" s="8">
        <v>1.76</v>
      </c>
      <c r="E1030" s="4">
        <v>6</v>
      </c>
      <c r="F1030" s="8">
        <v>0.8</v>
      </c>
      <c r="G1030" s="4">
        <v>15</v>
      </c>
      <c r="H1030" s="8">
        <v>3.46</v>
      </c>
      <c r="I1030" s="4">
        <v>0</v>
      </c>
    </row>
    <row r="1031" spans="1:9" x14ac:dyDescent="0.2">
      <c r="A1031" s="2">
        <v>14</v>
      </c>
      <c r="B1031" s="1" t="s">
        <v>182</v>
      </c>
      <c r="C1031" s="4">
        <v>19</v>
      </c>
      <c r="D1031" s="8">
        <v>1.59</v>
      </c>
      <c r="E1031" s="4">
        <v>8</v>
      </c>
      <c r="F1031" s="8">
        <v>1.07</v>
      </c>
      <c r="G1031" s="4">
        <v>11</v>
      </c>
      <c r="H1031" s="8">
        <v>2.5299999999999998</v>
      </c>
      <c r="I1031" s="4">
        <v>0</v>
      </c>
    </row>
    <row r="1032" spans="1:9" x14ac:dyDescent="0.2">
      <c r="A1032" s="2">
        <v>15</v>
      </c>
      <c r="B1032" s="1" t="s">
        <v>161</v>
      </c>
      <c r="C1032" s="4">
        <v>18</v>
      </c>
      <c r="D1032" s="8">
        <v>1.51</v>
      </c>
      <c r="E1032" s="4">
        <v>6</v>
      </c>
      <c r="F1032" s="8">
        <v>0.8</v>
      </c>
      <c r="G1032" s="4">
        <v>12</v>
      </c>
      <c r="H1032" s="8">
        <v>2.76</v>
      </c>
      <c r="I1032" s="4">
        <v>0</v>
      </c>
    </row>
    <row r="1033" spans="1:9" x14ac:dyDescent="0.2">
      <c r="A1033" s="2">
        <v>15</v>
      </c>
      <c r="B1033" s="1" t="s">
        <v>162</v>
      </c>
      <c r="C1033" s="4">
        <v>18</v>
      </c>
      <c r="D1033" s="8">
        <v>1.51</v>
      </c>
      <c r="E1033" s="4">
        <v>13</v>
      </c>
      <c r="F1033" s="8">
        <v>1.74</v>
      </c>
      <c r="G1033" s="4">
        <v>5</v>
      </c>
      <c r="H1033" s="8">
        <v>1.1499999999999999</v>
      </c>
      <c r="I1033" s="4">
        <v>0</v>
      </c>
    </row>
    <row r="1034" spans="1:9" x14ac:dyDescent="0.2">
      <c r="A1034" s="2">
        <v>17</v>
      </c>
      <c r="B1034" s="1" t="s">
        <v>207</v>
      </c>
      <c r="C1034" s="4">
        <v>17</v>
      </c>
      <c r="D1034" s="8">
        <v>1.42</v>
      </c>
      <c r="E1034" s="4">
        <v>11</v>
      </c>
      <c r="F1034" s="8">
        <v>1.47</v>
      </c>
      <c r="G1034" s="4">
        <v>6</v>
      </c>
      <c r="H1034" s="8">
        <v>1.38</v>
      </c>
      <c r="I1034" s="4">
        <v>0</v>
      </c>
    </row>
    <row r="1035" spans="1:9" x14ac:dyDescent="0.2">
      <c r="A1035" s="2">
        <v>18</v>
      </c>
      <c r="B1035" s="1" t="s">
        <v>188</v>
      </c>
      <c r="C1035" s="4">
        <v>16</v>
      </c>
      <c r="D1035" s="8">
        <v>1.34</v>
      </c>
      <c r="E1035" s="4">
        <v>13</v>
      </c>
      <c r="F1035" s="8">
        <v>1.74</v>
      </c>
      <c r="G1035" s="4">
        <v>3</v>
      </c>
      <c r="H1035" s="8">
        <v>0.69</v>
      </c>
      <c r="I1035" s="4">
        <v>0</v>
      </c>
    </row>
    <row r="1036" spans="1:9" x14ac:dyDescent="0.2">
      <c r="A1036" s="2">
        <v>19</v>
      </c>
      <c r="B1036" s="1" t="s">
        <v>164</v>
      </c>
      <c r="C1036" s="4">
        <v>15</v>
      </c>
      <c r="D1036" s="8">
        <v>1.26</v>
      </c>
      <c r="E1036" s="4">
        <v>8</v>
      </c>
      <c r="F1036" s="8">
        <v>1.07</v>
      </c>
      <c r="G1036" s="4">
        <v>7</v>
      </c>
      <c r="H1036" s="8">
        <v>1.61</v>
      </c>
      <c r="I1036" s="4">
        <v>0</v>
      </c>
    </row>
    <row r="1037" spans="1:9" x14ac:dyDescent="0.2">
      <c r="A1037" s="2">
        <v>20</v>
      </c>
      <c r="B1037" s="1" t="s">
        <v>157</v>
      </c>
      <c r="C1037" s="4">
        <v>14</v>
      </c>
      <c r="D1037" s="8">
        <v>1.17</v>
      </c>
      <c r="E1037" s="4">
        <v>3</v>
      </c>
      <c r="F1037" s="8">
        <v>0.4</v>
      </c>
      <c r="G1037" s="4">
        <v>11</v>
      </c>
      <c r="H1037" s="8">
        <v>2.5299999999999998</v>
      </c>
      <c r="I1037" s="4">
        <v>0</v>
      </c>
    </row>
    <row r="1038" spans="1:9" x14ac:dyDescent="0.2">
      <c r="A1038" s="1"/>
      <c r="C1038" s="4"/>
      <c r="D1038" s="8"/>
      <c r="E1038" s="4"/>
      <c r="F1038" s="8"/>
      <c r="G1038" s="4"/>
      <c r="H1038" s="8"/>
      <c r="I1038" s="4"/>
    </row>
    <row r="1039" spans="1:9" x14ac:dyDescent="0.2">
      <c r="A1039" s="1" t="s">
        <v>46</v>
      </c>
      <c r="C1039" s="4"/>
      <c r="D1039" s="8"/>
      <c r="E1039" s="4"/>
      <c r="F1039" s="8"/>
      <c r="G1039" s="4"/>
      <c r="H1039" s="8"/>
      <c r="I1039" s="4"/>
    </row>
    <row r="1040" spans="1:9" x14ac:dyDescent="0.2">
      <c r="A1040" s="2">
        <v>1</v>
      </c>
      <c r="B1040" s="1" t="s">
        <v>173</v>
      </c>
      <c r="C1040" s="4">
        <v>76</v>
      </c>
      <c r="D1040" s="8">
        <v>6.67</v>
      </c>
      <c r="E1040" s="4">
        <v>67</v>
      </c>
      <c r="F1040" s="8">
        <v>11.88</v>
      </c>
      <c r="G1040" s="4">
        <v>9</v>
      </c>
      <c r="H1040" s="8">
        <v>1.59</v>
      </c>
      <c r="I1040" s="4">
        <v>0</v>
      </c>
    </row>
    <row r="1041" spans="1:9" x14ac:dyDescent="0.2">
      <c r="A1041" s="2">
        <v>2</v>
      </c>
      <c r="B1041" s="1" t="s">
        <v>167</v>
      </c>
      <c r="C1041" s="4">
        <v>46</v>
      </c>
      <c r="D1041" s="8">
        <v>4.04</v>
      </c>
      <c r="E1041" s="4">
        <v>25</v>
      </c>
      <c r="F1041" s="8">
        <v>4.43</v>
      </c>
      <c r="G1041" s="4">
        <v>21</v>
      </c>
      <c r="H1041" s="8">
        <v>3.7</v>
      </c>
      <c r="I1041" s="4">
        <v>0</v>
      </c>
    </row>
    <row r="1042" spans="1:9" x14ac:dyDescent="0.2">
      <c r="A1042" s="2">
        <v>3</v>
      </c>
      <c r="B1042" s="1" t="s">
        <v>172</v>
      </c>
      <c r="C1042" s="4">
        <v>45</v>
      </c>
      <c r="D1042" s="8">
        <v>3.95</v>
      </c>
      <c r="E1042" s="4">
        <v>45</v>
      </c>
      <c r="F1042" s="8">
        <v>7.98</v>
      </c>
      <c r="G1042" s="4">
        <v>0</v>
      </c>
      <c r="H1042" s="8">
        <v>0</v>
      </c>
      <c r="I1042" s="4">
        <v>0</v>
      </c>
    </row>
    <row r="1043" spans="1:9" x14ac:dyDescent="0.2">
      <c r="A1043" s="2">
        <v>4</v>
      </c>
      <c r="B1043" s="1" t="s">
        <v>174</v>
      </c>
      <c r="C1043" s="4">
        <v>43</v>
      </c>
      <c r="D1043" s="8">
        <v>3.77</v>
      </c>
      <c r="E1043" s="4">
        <v>34</v>
      </c>
      <c r="F1043" s="8">
        <v>6.03</v>
      </c>
      <c r="G1043" s="4">
        <v>9</v>
      </c>
      <c r="H1043" s="8">
        <v>1.59</v>
      </c>
      <c r="I1043" s="4">
        <v>0</v>
      </c>
    </row>
    <row r="1044" spans="1:9" x14ac:dyDescent="0.2">
      <c r="A1044" s="2">
        <v>5</v>
      </c>
      <c r="B1044" s="1" t="s">
        <v>175</v>
      </c>
      <c r="C1044" s="4">
        <v>41</v>
      </c>
      <c r="D1044" s="8">
        <v>3.6</v>
      </c>
      <c r="E1044" s="4">
        <v>39</v>
      </c>
      <c r="F1044" s="8">
        <v>6.91</v>
      </c>
      <c r="G1044" s="4">
        <v>2</v>
      </c>
      <c r="H1044" s="8">
        <v>0.35</v>
      </c>
      <c r="I1044" s="4">
        <v>0</v>
      </c>
    </row>
    <row r="1045" spans="1:9" x14ac:dyDescent="0.2">
      <c r="A1045" s="2">
        <v>6</v>
      </c>
      <c r="B1045" s="1" t="s">
        <v>169</v>
      </c>
      <c r="C1045" s="4">
        <v>32</v>
      </c>
      <c r="D1045" s="8">
        <v>2.81</v>
      </c>
      <c r="E1045" s="4">
        <v>28</v>
      </c>
      <c r="F1045" s="8">
        <v>4.96</v>
      </c>
      <c r="G1045" s="4">
        <v>4</v>
      </c>
      <c r="H1045" s="8">
        <v>0.71</v>
      </c>
      <c r="I1045" s="4">
        <v>0</v>
      </c>
    </row>
    <row r="1046" spans="1:9" x14ac:dyDescent="0.2">
      <c r="A1046" s="2">
        <v>7</v>
      </c>
      <c r="B1046" s="1" t="s">
        <v>160</v>
      </c>
      <c r="C1046" s="4">
        <v>28</v>
      </c>
      <c r="D1046" s="8">
        <v>2.46</v>
      </c>
      <c r="E1046" s="4">
        <v>7</v>
      </c>
      <c r="F1046" s="8">
        <v>1.24</v>
      </c>
      <c r="G1046" s="4">
        <v>21</v>
      </c>
      <c r="H1046" s="8">
        <v>3.7</v>
      </c>
      <c r="I1046" s="4">
        <v>0</v>
      </c>
    </row>
    <row r="1047" spans="1:9" x14ac:dyDescent="0.2">
      <c r="A1047" s="2">
        <v>8</v>
      </c>
      <c r="B1047" s="1" t="s">
        <v>170</v>
      </c>
      <c r="C1047" s="4">
        <v>27</v>
      </c>
      <c r="D1047" s="8">
        <v>2.37</v>
      </c>
      <c r="E1047" s="4">
        <v>23</v>
      </c>
      <c r="F1047" s="8">
        <v>4.08</v>
      </c>
      <c r="G1047" s="4">
        <v>4</v>
      </c>
      <c r="H1047" s="8">
        <v>0.71</v>
      </c>
      <c r="I1047" s="4">
        <v>0</v>
      </c>
    </row>
    <row r="1048" spans="1:9" x14ac:dyDescent="0.2">
      <c r="A1048" s="2">
        <v>9</v>
      </c>
      <c r="B1048" s="1" t="s">
        <v>161</v>
      </c>
      <c r="C1048" s="4">
        <v>23</v>
      </c>
      <c r="D1048" s="8">
        <v>2.02</v>
      </c>
      <c r="E1048" s="4">
        <v>5</v>
      </c>
      <c r="F1048" s="8">
        <v>0.89</v>
      </c>
      <c r="G1048" s="4">
        <v>18</v>
      </c>
      <c r="H1048" s="8">
        <v>3.17</v>
      </c>
      <c r="I1048" s="4">
        <v>0</v>
      </c>
    </row>
    <row r="1049" spans="1:9" x14ac:dyDescent="0.2">
      <c r="A1049" s="2">
        <v>10</v>
      </c>
      <c r="B1049" s="1" t="s">
        <v>162</v>
      </c>
      <c r="C1049" s="4">
        <v>22</v>
      </c>
      <c r="D1049" s="8">
        <v>1.93</v>
      </c>
      <c r="E1049" s="4">
        <v>16</v>
      </c>
      <c r="F1049" s="8">
        <v>2.84</v>
      </c>
      <c r="G1049" s="4">
        <v>6</v>
      </c>
      <c r="H1049" s="8">
        <v>1.06</v>
      </c>
      <c r="I1049" s="4">
        <v>0</v>
      </c>
    </row>
    <row r="1050" spans="1:9" x14ac:dyDescent="0.2">
      <c r="A1050" s="2">
        <v>11</v>
      </c>
      <c r="B1050" s="1" t="s">
        <v>159</v>
      </c>
      <c r="C1050" s="4">
        <v>21</v>
      </c>
      <c r="D1050" s="8">
        <v>1.84</v>
      </c>
      <c r="E1050" s="4">
        <v>4</v>
      </c>
      <c r="F1050" s="8">
        <v>0.71</v>
      </c>
      <c r="G1050" s="4">
        <v>17</v>
      </c>
      <c r="H1050" s="8">
        <v>3</v>
      </c>
      <c r="I1050" s="4">
        <v>0</v>
      </c>
    </row>
    <row r="1051" spans="1:9" x14ac:dyDescent="0.2">
      <c r="A1051" s="2">
        <v>12</v>
      </c>
      <c r="B1051" s="1" t="s">
        <v>165</v>
      </c>
      <c r="C1051" s="4">
        <v>20</v>
      </c>
      <c r="D1051" s="8">
        <v>1.75</v>
      </c>
      <c r="E1051" s="4">
        <v>0</v>
      </c>
      <c r="F1051" s="8">
        <v>0</v>
      </c>
      <c r="G1051" s="4">
        <v>20</v>
      </c>
      <c r="H1051" s="8">
        <v>3.53</v>
      </c>
      <c r="I1051" s="4">
        <v>0</v>
      </c>
    </row>
    <row r="1052" spans="1:9" x14ac:dyDescent="0.2">
      <c r="A1052" s="2">
        <v>13</v>
      </c>
      <c r="B1052" s="1" t="s">
        <v>158</v>
      </c>
      <c r="C1052" s="4">
        <v>19</v>
      </c>
      <c r="D1052" s="8">
        <v>1.67</v>
      </c>
      <c r="E1052" s="4">
        <v>2</v>
      </c>
      <c r="F1052" s="8">
        <v>0.35</v>
      </c>
      <c r="G1052" s="4">
        <v>17</v>
      </c>
      <c r="H1052" s="8">
        <v>3</v>
      </c>
      <c r="I1052" s="4">
        <v>0</v>
      </c>
    </row>
    <row r="1053" spans="1:9" x14ac:dyDescent="0.2">
      <c r="A1053" s="2">
        <v>14</v>
      </c>
      <c r="B1053" s="1" t="s">
        <v>177</v>
      </c>
      <c r="C1053" s="4">
        <v>18</v>
      </c>
      <c r="D1053" s="8">
        <v>1.58</v>
      </c>
      <c r="E1053" s="4">
        <v>6</v>
      </c>
      <c r="F1053" s="8">
        <v>1.06</v>
      </c>
      <c r="G1053" s="4">
        <v>12</v>
      </c>
      <c r="H1053" s="8">
        <v>2.12</v>
      </c>
      <c r="I1053" s="4">
        <v>0</v>
      </c>
    </row>
    <row r="1054" spans="1:9" x14ac:dyDescent="0.2">
      <c r="A1054" s="2">
        <v>15</v>
      </c>
      <c r="B1054" s="1" t="s">
        <v>168</v>
      </c>
      <c r="C1054" s="4">
        <v>17</v>
      </c>
      <c r="D1054" s="8">
        <v>1.49</v>
      </c>
      <c r="E1054" s="4">
        <v>0</v>
      </c>
      <c r="F1054" s="8">
        <v>0</v>
      </c>
      <c r="G1054" s="4">
        <v>16</v>
      </c>
      <c r="H1054" s="8">
        <v>2.82</v>
      </c>
      <c r="I1054" s="4">
        <v>1</v>
      </c>
    </row>
    <row r="1055" spans="1:9" x14ac:dyDescent="0.2">
      <c r="A1055" s="2">
        <v>15</v>
      </c>
      <c r="B1055" s="1" t="s">
        <v>178</v>
      </c>
      <c r="C1055" s="4">
        <v>17</v>
      </c>
      <c r="D1055" s="8">
        <v>1.49</v>
      </c>
      <c r="E1055" s="4">
        <v>3</v>
      </c>
      <c r="F1055" s="8">
        <v>0.53</v>
      </c>
      <c r="G1055" s="4">
        <v>14</v>
      </c>
      <c r="H1055" s="8">
        <v>2.4700000000000002</v>
      </c>
      <c r="I1055" s="4">
        <v>0</v>
      </c>
    </row>
    <row r="1056" spans="1:9" x14ac:dyDescent="0.2">
      <c r="A1056" s="2">
        <v>15</v>
      </c>
      <c r="B1056" s="1" t="s">
        <v>179</v>
      </c>
      <c r="C1056" s="4">
        <v>17</v>
      </c>
      <c r="D1056" s="8">
        <v>1.49</v>
      </c>
      <c r="E1056" s="4">
        <v>13</v>
      </c>
      <c r="F1056" s="8">
        <v>2.2999999999999998</v>
      </c>
      <c r="G1056" s="4">
        <v>4</v>
      </c>
      <c r="H1056" s="8">
        <v>0.71</v>
      </c>
      <c r="I1056" s="4">
        <v>0</v>
      </c>
    </row>
    <row r="1057" spans="1:9" x14ac:dyDescent="0.2">
      <c r="A1057" s="2">
        <v>18</v>
      </c>
      <c r="B1057" s="1" t="s">
        <v>188</v>
      </c>
      <c r="C1057" s="4">
        <v>16</v>
      </c>
      <c r="D1057" s="8">
        <v>1.4</v>
      </c>
      <c r="E1057" s="4">
        <v>11</v>
      </c>
      <c r="F1057" s="8">
        <v>1.95</v>
      </c>
      <c r="G1057" s="4">
        <v>5</v>
      </c>
      <c r="H1057" s="8">
        <v>0.88</v>
      </c>
      <c r="I1057" s="4">
        <v>0</v>
      </c>
    </row>
    <row r="1058" spans="1:9" x14ac:dyDescent="0.2">
      <c r="A1058" s="2">
        <v>18</v>
      </c>
      <c r="B1058" s="1" t="s">
        <v>206</v>
      </c>
      <c r="C1058" s="4">
        <v>16</v>
      </c>
      <c r="D1058" s="8">
        <v>1.4</v>
      </c>
      <c r="E1058" s="4">
        <v>13</v>
      </c>
      <c r="F1058" s="8">
        <v>2.2999999999999998</v>
      </c>
      <c r="G1058" s="4">
        <v>3</v>
      </c>
      <c r="H1058" s="8">
        <v>0.53</v>
      </c>
      <c r="I1058" s="4">
        <v>0</v>
      </c>
    </row>
    <row r="1059" spans="1:9" x14ac:dyDescent="0.2">
      <c r="A1059" s="2">
        <v>20</v>
      </c>
      <c r="B1059" s="1" t="s">
        <v>157</v>
      </c>
      <c r="C1059" s="4">
        <v>15</v>
      </c>
      <c r="D1059" s="8">
        <v>1.32</v>
      </c>
      <c r="E1059" s="4">
        <v>0</v>
      </c>
      <c r="F1059" s="8">
        <v>0</v>
      </c>
      <c r="G1059" s="4">
        <v>15</v>
      </c>
      <c r="H1059" s="8">
        <v>2.65</v>
      </c>
      <c r="I1059" s="4">
        <v>0</v>
      </c>
    </row>
    <row r="1060" spans="1:9" x14ac:dyDescent="0.2">
      <c r="A1060" s="2">
        <v>20</v>
      </c>
      <c r="B1060" s="1" t="s">
        <v>163</v>
      </c>
      <c r="C1060" s="4">
        <v>15</v>
      </c>
      <c r="D1060" s="8">
        <v>1.32</v>
      </c>
      <c r="E1060" s="4">
        <v>8</v>
      </c>
      <c r="F1060" s="8">
        <v>1.42</v>
      </c>
      <c r="G1060" s="4">
        <v>7</v>
      </c>
      <c r="H1060" s="8">
        <v>1.23</v>
      </c>
      <c r="I1060" s="4">
        <v>0</v>
      </c>
    </row>
    <row r="1061" spans="1:9" x14ac:dyDescent="0.2">
      <c r="A1061" s="1"/>
      <c r="C1061" s="4"/>
      <c r="D1061" s="8"/>
      <c r="E1061" s="4"/>
      <c r="F1061" s="8"/>
      <c r="G1061" s="4"/>
      <c r="H1061" s="8"/>
      <c r="I1061" s="4"/>
    </row>
    <row r="1062" spans="1:9" x14ac:dyDescent="0.2">
      <c r="A1062" s="1" t="s">
        <v>47</v>
      </c>
      <c r="C1062" s="4"/>
      <c r="D1062" s="8"/>
      <c r="E1062" s="4"/>
      <c r="F1062" s="8"/>
      <c r="G1062" s="4"/>
      <c r="H1062" s="8"/>
      <c r="I1062" s="4"/>
    </row>
    <row r="1063" spans="1:9" x14ac:dyDescent="0.2">
      <c r="A1063" s="2">
        <v>1</v>
      </c>
      <c r="B1063" s="1" t="s">
        <v>173</v>
      </c>
      <c r="C1063" s="4">
        <v>37</v>
      </c>
      <c r="D1063" s="8">
        <v>3.63</v>
      </c>
      <c r="E1063" s="4">
        <v>32</v>
      </c>
      <c r="F1063" s="8">
        <v>7.16</v>
      </c>
      <c r="G1063" s="4">
        <v>4</v>
      </c>
      <c r="H1063" s="8">
        <v>0.71</v>
      </c>
      <c r="I1063" s="4">
        <v>1</v>
      </c>
    </row>
    <row r="1064" spans="1:9" x14ac:dyDescent="0.2">
      <c r="A1064" s="2">
        <v>2</v>
      </c>
      <c r="B1064" s="1" t="s">
        <v>157</v>
      </c>
      <c r="C1064" s="4">
        <v>36</v>
      </c>
      <c r="D1064" s="8">
        <v>3.53</v>
      </c>
      <c r="E1064" s="4">
        <v>1</v>
      </c>
      <c r="F1064" s="8">
        <v>0.22</v>
      </c>
      <c r="G1064" s="4">
        <v>35</v>
      </c>
      <c r="H1064" s="8">
        <v>6.17</v>
      </c>
      <c r="I1064" s="4">
        <v>0</v>
      </c>
    </row>
    <row r="1065" spans="1:9" x14ac:dyDescent="0.2">
      <c r="A1065" s="2">
        <v>3</v>
      </c>
      <c r="B1065" s="1" t="s">
        <v>176</v>
      </c>
      <c r="C1065" s="4">
        <v>30</v>
      </c>
      <c r="D1065" s="8">
        <v>2.94</v>
      </c>
      <c r="E1065" s="4">
        <v>21</v>
      </c>
      <c r="F1065" s="8">
        <v>4.7</v>
      </c>
      <c r="G1065" s="4">
        <v>9</v>
      </c>
      <c r="H1065" s="8">
        <v>1.59</v>
      </c>
      <c r="I1065" s="4">
        <v>0</v>
      </c>
    </row>
    <row r="1066" spans="1:9" x14ac:dyDescent="0.2">
      <c r="A1066" s="2">
        <v>4</v>
      </c>
      <c r="B1066" s="1" t="s">
        <v>172</v>
      </c>
      <c r="C1066" s="4">
        <v>29</v>
      </c>
      <c r="D1066" s="8">
        <v>2.85</v>
      </c>
      <c r="E1066" s="4">
        <v>26</v>
      </c>
      <c r="F1066" s="8">
        <v>5.82</v>
      </c>
      <c r="G1066" s="4">
        <v>3</v>
      </c>
      <c r="H1066" s="8">
        <v>0.53</v>
      </c>
      <c r="I1066" s="4">
        <v>0</v>
      </c>
    </row>
    <row r="1067" spans="1:9" x14ac:dyDescent="0.2">
      <c r="A1067" s="2">
        <v>5</v>
      </c>
      <c r="B1067" s="1" t="s">
        <v>170</v>
      </c>
      <c r="C1067" s="4">
        <v>26</v>
      </c>
      <c r="D1067" s="8">
        <v>2.5499999999999998</v>
      </c>
      <c r="E1067" s="4">
        <v>26</v>
      </c>
      <c r="F1067" s="8">
        <v>5.82</v>
      </c>
      <c r="G1067" s="4">
        <v>0</v>
      </c>
      <c r="H1067" s="8">
        <v>0</v>
      </c>
      <c r="I1067" s="4">
        <v>0</v>
      </c>
    </row>
    <row r="1068" spans="1:9" x14ac:dyDescent="0.2">
      <c r="A1068" s="2">
        <v>6</v>
      </c>
      <c r="B1068" s="1" t="s">
        <v>159</v>
      </c>
      <c r="C1068" s="4">
        <v>25</v>
      </c>
      <c r="D1068" s="8">
        <v>2.4500000000000002</v>
      </c>
      <c r="E1068" s="4">
        <v>13</v>
      </c>
      <c r="F1068" s="8">
        <v>2.91</v>
      </c>
      <c r="G1068" s="4">
        <v>12</v>
      </c>
      <c r="H1068" s="8">
        <v>2.12</v>
      </c>
      <c r="I1068" s="4">
        <v>0</v>
      </c>
    </row>
    <row r="1069" spans="1:9" x14ac:dyDescent="0.2">
      <c r="A1069" s="2">
        <v>7</v>
      </c>
      <c r="B1069" s="1" t="s">
        <v>163</v>
      </c>
      <c r="C1069" s="4">
        <v>24</v>
      </c>
      <c r="D1069" s="8">
        <v>2.36</v>
      </c>
      <c r="E1069" s="4">
        <v>17</v>
      </c>
      <c r="F1069" s="8">
        <v>3.8</v>
      </c>
      <c r="G1069" s="4">
        <v>7</v>
      </c>
      <c r="H1069" s="8">
        <v>1.23</v>
      </c>
      <c r="I1069" s="4">
        <v>0</v>
      </c>
    </row>
    <row r="1070" spans="1:9" x14ac:dyDescent="0.2">
      <c r="A1070" s="2">
        <v>8</v>
      </c>
      <c r="B1070" s="1" t="s">
        <v>158</v>
      </c>
      <c r="C1070" s="4">
        <v>21</v>
      </c>
      <c r="D1070" s="8">
        <v>2.06</v>
      </c>
      <c r="E1070" s="4">
        <v>8</v>
      </c>
      <c r="F1070" s="8">
        <v>1.79</v>
      </c>
      <c r="G1070" s="4">
        <v>13</v>
      </c>
      <c r="H1070" s="8">
        <v>2.29</v>
      </c>
      <c r="I1070" s="4">
        <v>0</v>
      </c>
    </row>
    <row r="1071" spans="1:9" x14ac:dyDescent="0.2">
      <c r="A1071" s="2">
        <v>8</v>
      </c>
      <c r="B1071" s="1" t="s">
        <v>174</v>
      </c>
      <c r="C1071" s="4">
        <v>21</v>
      </c>
      <c r="D1071" s="8">
        <v>2.06</v>
      </c>
      <c r="E1071" s="4">
        <v>18</v>
      </c>
      <c r="F1071" s="8">
        <v>4.03</v>
      </c>
      <c r="G1071" s="4">
        <v>3</v>
      </c>
      <c r="H1071" s="8">
        <v>0.53</v>
      </c>
      <c r="I1071" s="4">
        <v>0</v>
      </c>
    </row>
    <row r="1072" spans="1:9" x14ac:dyDescent="0.2">
      <c r="A1072" s="2">
        <v>10</v>
      </c>
      <c r="B1072" s="1" t="s">
        <v>160</v>
      </c>
      <c r="C1072" s="4">
        <v>20</v>
      </c>
      <c r="D1072" s="8">
        <v>1.96</v>
      </c>
      <c r="E1072" s="4">
        <v>6</v>
      </c>
      <c r="F1072" s="8">
        <v>1.34</v>
      </c>
      <c r="G1072" s="4">
        <v>14</v>
      </c>
      <c r="H1072" s="8">
        <v>2.4700000000000002</v>
      </c>
      <c r="I1072" s="4">
        <v>0</v>
      </c>
    </row>
    <row r="1073" spans="1:9" x14ac:dyDescent="0.2">
      <c r="A1073" s="2">
        <v>11</v>
      </c>
      <c r="B1073" s="1" t="s">
        <v>161</v>
      </c>
      <c r="C1073" s="4">
        <v>19</v>
      </c>
      <c r="D1073" s="8">
        <v>1.86</v>
      </c>
      <c r="E1073" s="4">
        <v>4</v>
      </c>
      <c r="F1073" s="8">
        <v>0.89</v>
      </c>
      <c r="G1073" s="4">
        <v>15</v>
      </c>
      <c r="H1073" s="8">
        <v>2.65</v>
      </c>
      <c r="I1073" s="4">
        <v>0</v>
      </c>
    </row>
    <row r="1074" spans="1:9" x14ac:dyDescent="0.2">
      <c r="A1074" s="2">
        <v>11</v>
      </c>
      <c r="B1074" s="1" t="s">
        <v>162</v>
      </c>
      <c r="C1074" s="4">
        <v>19</v>
      </c>
      <c r="D1074" s="8">
        <v>1.86</v>
      </c>
      <c r="E1074" s="4">
        <v>8</v>
      </c>
      <c r="F1074" s="8">
        <v>1.79</v>
      </c>
      <c r="G1074" s="4">
        <v>11</v>
      </c>
      <c r="H1074" s="8">
        <v>1.94</v>
      </c>
      <c r="I1074" s="4">
        <v>0</v>
      </c>
    </row>
    <row r="1075" spans="1:9" x14ac:dyDescent="0.2">
      <c r="A1075" s="2">
        <v>11</v>
      </c>
      <c r="B1075" s="1" t="s">
        <v>169</v>
      </c>
      <c r="C1075" s="4">
        <v>19</v>
      </c>
      <c r="D1075" s="8">
        <v>1.86</v>
      </c>
      <c r="E1075" s="4">
        <v>14</v>
      </c>
      <c r="F1075" s="8">
        <v>3.13</v>
      </c>
      <c r="G1075" s="4">
        <v>5</v>
      </c>
      <c r="H1075" s="8">
        <v>0.88</v>
      </c>
      <c r="I1075" s="4">
        <v>0</v>
      </c>
    </row>
    <row r="1076" spans="1:9" x14ac:dyDescent="0.2">
      <c r="A1076" s="2">
        <v>11</v>
      </c>
      <c r="B1076" s="1" t="s">
        <v>175</v>
      </c>
      <c r="C1076" s="4">
        <v>19</v>
      </c>
      <c r="D1076" s="8">
        <v>1.86</v>
      </c>
      <c r="E1076" s="4">
        <v>16</v>
      </c>
      <c r="F1076" s="8">
        <v>3.58</v>
      </c>
      <c r="G1076" s="4">
        <v>3</v>
      </c>
      <c r="H1076" s="8">
        <v>0.53</v>
      </c>
      <c r="I1076" s="4">
        <v>0</v>
      </c>
    </row>
    <row r="1077" spans="1:9" x14ac:dyDescent="0.2">
      <c r="A1077" s="2">
        <v>15</v>
      </c>
      <c r="B1077" s="1" t="s">
        <v>200</v>
      </c>
      <c r="C1077" s="4">
        <v>18</v>
      </c>
      <c r="D1077" s="8">
        <v>1.77</v>
      </c>
      <c r="E1077" s="4">
        <v>4</v>
      </c>
      <c r="F1077" s="8">
        <v>0.89</v>
      </c>
      <c r="G1077" s="4">
        <v>14</v>
      </c>
      <c r="H1077" s="8">
        <v>2.4700000000000002</v>
      </c>
      <c r="I1077" s="4">
        <v>0</v>
      </c>
    </row>
    <row r="1078" spans="1:9" x14ac:dyDescent="0.2">
      <c r="A1078" s="2">
        <v>16</v>
      </c>
      <c r="B1078" s="1" t="s">
        <v>181</v>
      </c>
      <c r="C1078" s="4">
        <v>17</v>
      </c>
      <c r="D1078" s="8">
        <v>1.67</v>
      </c>
      <c r="E1078" s="4">
        <v>7</v>
      </c>
      <c r="F1078" s="8">
        <v>1.57</v>
      </c>
      <c r="G1078" s="4">
        <v>10</v>
      </c>
      <c r="H1078" s="8">
        <v>1.76</v>
      </c>
      <c r="I1078" s="4">
        <v>0</v>
      </c>
    </row>
    <row r="1079" spans="1:9" x14ac:dyDescent="0.2">
      <c r="A1079" s="2">
        <v>17</v>
      </c>
      <c r="B1079" s="1" t="s">
        <v>177</v>
      </c>
      <c r="C1079" s="4">
        <v>14</v>
      </c>
      <c r="D1079" s="8">
        <v>1.37</v>
      </c>
      <c r="E1079" s="4">
        <v>3</v>
      </c>
      <c r="F1079" s="8">
        <v>0.67</v>
      </c>
      <c r="G1079" s="4">
        <v>11</v>
      </c>
      <c r="H1079" s="8">
        <v>1.94</v>
      </c>
      <c r="I1079" s="4">
        <v>0</v>
      </c>
    </row>
    <row r="1080" spans="1:9" x14ac:dyDescent="0.2">
      <c r="A1080" s="2">
        <v>17</v>
      </c>
      <c r="B1080" s="1" t="s">
        <v>164</v>
      </c>
      <c r="C1080" s="4">
        <v>14</v>
      </c>
      <c r="D1080" s="8">
        <v>1.37</v>
      </c>
      <c r="E1080" s="4">
        <v>10</v>
      </c>
      <c r="F1080" s="8">
        <v>2.2400000000000002</v>
      </c>
      <c r="G1080" s="4">
        <v>4</v>
      </c>
      <c r="H1080" s="8">
        <v>0.71</v>
      </c>
      <c r="I1080" s="4">
        <v>0</v>
      </c>
    </row>
    <row r="1081" spans="1:9" x14ac:dyDescent="0.2">
      <c r="A1081" s="2">
        <v>19</v>
      </c>
      <c r="B1081" s="1" t="s">
        <v>214</v>
      </c>
      <c r="C1081" s="4">
        <v>13</v>
      </c>
      <c r="D1081" s="8">
        <v>1.28</v>
      </c>
      <c r="E1081" s="4">
        <v>1</v>
      </c>
      <c r="F1081" s="8">
        <v>0.22</v>
      </c>
      <c r="G1081" s="4">
        <v>12</v>
      </c>
      <c r="H1081" s="8">
        <v>2.12</v>
      </c>
      <c r="I1081" s="4">
        <v>0</v>
      </c>
    </row>
    <row r="1082" spans="1:9" x14ac:dyDescent="0.2">
      <c r="A1082" s="2">
        <v>19</v>
      </c>
      <c r="B1082" s="1" t="s">
        <v>217</v>
      </c>
      <c r="C1082" s="4">
        <v>13</v>
      </c>
      <c r="D1082" s="8">
        <v>1.28</v>
      </c>
      <c r="E1082" s="4">
        <v>1</v>
      </c>
      <c r="F1082" s="8">
        <v>0.22</v>
      </c>
      <c r="G1082" s="4">
        <v>12</v>
      </c>
      <c r="H1082" s="8">
        <v>2.12</v>
      </c>
      <c r="I1082" s="4">
        <v>0</v>
      </c>
    </row>
    <row r="1083" spans="1:9" x14ac:dyDescent="0.2">
      <c r="A1083" s="2">
        <v>19</v>
      </c>
      <c r="B1083" s="1" t="s">
        <v>218</v>
      </c>
      <c r="C1083" s="4">
        <v>13</v>
      </c>
      <c r="D1083" s="8">
        <v>1.28</v>
      </c>
      <c r="E1083" s="4">
        <v>2</v>
      </c>
      <c r="F1083" s="8">
        <v>0.45</v>
      </c>
      <c r="G1083" s="4">
        <v>11</v>
      </c>
      <c r="H1083" s="8">
        <v>1.94</v>
      </c>
      <c r="I1083" s="4">
        <v>0</v>
      </c>
    </row>
    <row r="1084" spans="1:9" x14ac:dyDescent="0.2">
      <c r="A1084" s="2">
        <v>19</v>
      </c>
      <c r="B1084" s="1" t="s">
        <v>167</v>
      </c>
      <c r="C1084" s="4">
        <v>13</v>
      </c>
      <c r="D1084" s="8">
        <v>1.28</v>
      </c>
      <c r="E1084" s="4">
        <v>1</v>
      </c>
      <c r="F1084" s="8">
        <v>0.22</v>
      </c>
      <c r="G1084" s="4">
        <v>12</v>
      </c>
      <c r="H1084" s="8">
        <v>2.12</v>
      </c>
      <c r="I1084" s="4">
        <v>0</v>
      </c>
    </row>
    <row r="1085" spans="1:9" x14ac:dyDescent="0.2">
      <c r="A1085" s="2">
        <v>19</v>
      </c>
      <c r="B1085" s="1" t="s">
        <v>205</v>
      </c>
      <c r="C1085" s="4">
        <v>13</v>
      </c>
      <c r="D1085" s="8">
        <v>1.28</v>
      </c>
      <c r="E1085" s="4">
        <v>8</v>
      </c>
      <c r="F1085" s="8">
        <v>1.79</v>
      </c>
      <c r="G1085" s="4">
        <v>5</v>
      </c>
      <c r="H1085" s="8">
        <v>0.88</v>
      </c>
      <c r="I1085" s="4">
        <v>0</v>
      </c>
    </row>
    <row r="1086" spans="1:9" x14ac:dyDescent="0.2">
      <c r="A1086" s="1"/>
      <c r="C1086" s="4"/>
      <c r="D1086" s="8"/>
      <c r="E1086" s="4"/>
      <c r="F1086" s="8"/>
      <c r="G1086" s="4"/>
      <c r="H1086" s="8"/>
      <c r="I1086" s="4"/>
    </row>
    <row r="1087" spans="1:9" x14ac:dyDescent="0.2">
      <c r="A1087" s="1" t="s">
        <v>48</v>
      </c>
      <c r="C1087" s="4"/>
      <c r="D1087" s="8"/>
      <c r="E1087" s="4"/>
      <c r="F1087" s="8"/>
      <c r="G1087" s="4"/>
      <c r="H1087" s="8"/>
      <c r="I1087" s="4"/>
    </row>
    <row r="1088" spans="1:9" x14ac:dyDescent="0.2">
      <c r="A1088" s="2">
        <v>1</v>
      </c>
      <c r="B1088" s="1" t="s">
        <v>173</v>
      </c>
      <c r="C1088" s="4">
        <v>56</v>
      </c>
      <c r="D1088" s="8">
        <v>4.57</v>
      </c>
      <c r="E1088" s="4">
        <v>48</v>
      </c>
      <c r="F1088" s="8">
        <v>9.52</v>
      </c>
      <c r="G1088" s="4">
        <v>8</v>
      </c>
      <c r="H1088" s="8">
        <v>1.1200000000000001</v>
      </c>
      <c r="I1088" s="4">
        <v>0</v>
      </c>
    </row>
    <row r="1089" spans="1:9" x14ac:dyDescent="0.2">
      <c r="A1089" s="2">
        <v>2</v>
      </c>
      <c r="B1089" s="1" t="s">
        <v>172</v>
      </c>
      <c r="C1089" s="4">
        <v>40</v>
      </c>
      <c r="D1089" s="8">
        <v>3.26</v>
      </c>
      <c r="E1089" s="4">
        <v>38</v>
      </c>
      <c r="F1089" s="8">
        <v>7.54</v>
      </c>
      <c r="G1089" s="4">
        <v>2</v>
      </c>
      <c r="H1089" s="8">
        <v>0.28000000000000003</v>
      </c>
      <c r="I1089" s="4">
        <v>0</v>
      </c>
    </row>
    <row r="1090" spans="1:9" x14ac:dyDescent="0.2">
      <c r="A1090" s="2">
        <v>3</v>
      </c>
      <c r="B1090" s="1" t="s">
        <v>167</v>
      </c>
      <c r="C1090" s="4">
        <v>39</v>
      </c>
      <c r="D1090" s="8">
        <v>3.18</v>
      </c>
      <c r="E1090" s="4">
        <v>17</v>
      </c>
      <c r="F1090" s="8">
        <v>3.37</v>
      </c>
      <c r="G1090" s="4">
        <v>22</v>
      </c>
      <c r="H1090" s="8">
        <v>3.09</v>
      </c>
      <c r="I1090" s="4">
        <v>0</v>
      </c>
    </row>
    <row r="1091" spans="1:9" x14ac:dyDescent="0.2">
      <c r="A1091" s="2">
        <v>4</v>
      </c>
      <c r="B1091" s="1" t="s">
        <v>160</v>
      </c>
      <c r="C1091" s="4">
        <v>32</v>
      </c>
      <c r="D1091" s="8">
        <v>2.61</v>
      </c>
      <c r="E1091" s="4">
        <v>6</v>
      </c>
      <c r="F1091" s="8">
        <v>1.19</v>
      </c>
      <c r="G1091" s="4">
        <v>26</v>
      </c>
      <c r="H1091" s="8">
        <v>3.65</v>
      </c>
      <c r="I1091" s="4">
        <v>0</v>
      </c>
    </row>
    <row r="1092" spans="1:9" x14ac:dyDescent="0.2">
      <c r="A1092" s="2">
        <v>5</v>
      </c>
      <c r="B1092" s="1" t="s">
        <v>170</v>
      </c>
      <c r="C1092" s="4">
        <v>31</v>
      </c>
      <c r="D1092" s="8">
        <v>2.5299999999999998</v>
      </c>
      <c r="E1092" s="4">
        <v>28</v>
      </c>
      <c r="F1092" s="8">
        <v>5.56</v>
      </c>
      <c r="G1092" s="4">
        <v>3</v>
      </c>
      <c r="H1092" s="8">
        <v>0.42</v>
      </c>
      <c r="I1092" s="4">
        <v>0</v>
      </c>
    </row>
    <row r="1093" spans="1:9" x14ac:dyDescent="0.2">
      <c r="A1093" s="2">
        <v>6</v>
      </c>
      <c r="B1093" s="1" t="s">
        <v>200</v>
      </c>
      <c r="C1093" s="4">
        <v>30</v>
      </c>
      <c r="D1093" s="8">
        <v>2.4500000000000002</v>
      </c>
      <c r="E1093" s="4">
        <v>5</v>
      </c>
      <c r="F1093" s="8">
        <v>0.99</v>
      </c>
      <c r="G1093" s="4">
        <v>25</v>
      </c>
      <c r="H1093" s="8">
        <v>3.51</v>
      </c>
      <c r="I1093" s="4">
        <v>0</v>
      </c>
    </row>
    <row r="1094" spans="1:9" x14ac:dyDescent="0.2">
      <c r="A1094" s="2">
        <v>7</v>
      </c>
      <c r="B1094" s="1" t="s">
        <v>158</v>
      </c>
      <c r="C1094" s="4">
        <v>27</v>
      </c>
      <c r="D1094" s="8">
        <v>2.2000000000000002</v>
      </c>
      <c r="E1094" s="4">
        <v>4</v>
      </c>
      <c r="F1094" s="8">
        <v>0.79</v>
      </c>
      <c r="G1094" s="4">
        <v>23</v>
      </c>
      <c r="H1094" s="8">
        <v>3.23</v>
      </c>
      <c r="I1094" s="4">
        <v>0</v>
      </c>
    </row>
    <row r="1095" spans="1:9" x14ac:dyDescent="0.2">
      <c r="A1095" s="2">
        <v>8</v>
      </c>
      <c r="B1095" s="1" t="s">
        <v>169</v>
      </c>
      <c r="C1095" s="4">
        <v>24</v>
      </c>
      <c r="D1095" s="8">
        <v>1.96</v>
      </c>
      <c r="E1095" s="4">
        <v>20</v>
      </c>
      <c r="F1095" s="8">
        <v>3.97</v>
      </c>
      <c r="G1095" s="4">
        <v>4</v>
      </c>
      <c r="H1095" s="8">
        <v>0.56000000000000005</v>
      </c>
      <c r="I1095" s="4">
        <v>0</v>
      </c>
    </row>
    <row r="1096" spans="1:9" x14ac:dyDescent="0.2">
      <c r="A1096" s="2">
        <v>9</v>
      </c>
      <c r="B1096" s="1" t="s">
        <v>214</v>
      </c>
      <c r="C1096" s="4">
        <v>22</v>
      </c>
      <c r="D1096" s="8">
        <v>1.79</v>
      </c>
      <c r="E1096" s="4">
        <v>5</v>
      </c>
      <c r="F1096" s="8">
        <v>0.99</v>
      </c>
      <c r="G1096" s="4">
        <v>17</v>
      </c>
      <c r="H1096" s="8">
        <v>2.39</v>
      </c>
      <c r="I1096" s="4">
        <v>0</v>
      </c>
    </row>
    <row r="1097" spans="1:9" x14ac:dyDescent="0.2">
      <c r="A1097" s="2">
        <v>9</v>
      </c>
      <c r="B1097" s="1" t="s">
        <v>174</v>
      </c>
      <c r="C1097" s="4">
        <v>22</v>
      </c>
      <c r="D1097" s="8">
        <v>1.79</v>
      </c>
      <c r="E1097" s="4">
        <v>16</v>
      </c>
      <c r="F1097" s="8">
        <v>3.17</v>
      </c>
      <c r="G1097" s="4">
        <v>6</v>
      </c>
      <c r="H1097" s="8">
        <v>0.84</v>
      </c>
      <c r="I1097" s="4">
        <v>0</v>
      </c>
    </row>
    <row r="1098" spans="1:9" x14ac:dyDescent="0.2">
      <c r="A1098" s="2">
        <v>9</v>
      </c>
      <c r="B1098" s="1" t="s">
        <v>175</v>
      </c>
      <c r="C1098" s="4">
        <v>22</v>
      </c>
      <c r="D1098" s="8">
        <v>1.79</v>
      </c>
      <c r="E1098" s="4">
        <v>21</v>
      </c>
      <c r="F1098" s="8">
        <v>4.17</v>
      </c>
      <c r="G1098" s="4">
        <v>1</v>
      </c>
      <c r="H1098" s="8">
        <v>0.14000000000000001</v>
      </c>
      <c r="I1098" s="4">
        <v>0</v>
      </c>
    </row>
    <row r="1099" spans="1:9" x14ac:dyDescent="0.2">
      <c r="A1099" s="2">
        <v>9</v>
      </c>
      <c r="B1099" s="1" t="s">
        <v>176</v>
      </c>
      <c r="C1099" s="4">
        <v>22</v>
      </c>
      <c r="D1099" s="8">
        <v>1.79</v>
      </c>
      <c r="E1099" s="4">
        <v>15</v>
      </c>
      <c r="F1099" s="8">
        <v>2.98</v>
      </c>
      <c r="G1099" s="4">
        <v>7</v>
      </c>
      <c r="H1099" s="8">
        <v>0.98</v>
      </c>
      <c r="I1099" s="4">
        <v>0</v>
      </c>
    </row>
    <row r="1100" spans="1:9" x14ac:dyDescent="0.2">
      <c r="A1100" s="2">
        <v>13</v>
      </c>
      <c r="B1100" s="1" t="s">
        <v>162</v>
      </c>
      <c r="C1100" s="4">
        <v>21</v>
      </c>
      <c r="D1100" s="8">
        <v>1.71</v>
      </c>
      <c r="E1100" s="4">
        <v>17</v>
      </c>
      <c r="F1100" s="8">
        <v>3.37</v>
      </c>
      <c r="G1100" s="4">
        <v>3</v>
      </c>
      <c r="H1100" s="8">
        <v>0.42</v>
      </c>
      <c r="I1100" s="4">
        <v>1</v>
      </c>
    </row>
    <row r="1101" spans="1:9" x14ac:dyDescent="0.2">
      <c r="A1101" s="2">
        <v>13</v>
      </c>
      <c r="B1101" s="1" t="s">
        <v>163</v>
      </c>
      <c r="C1101" s="4">
        <v>21</v>
      </c>
      <c r="D1101" s="8">
        <v>1.71</v>
      </c>
      <c r="E1101" s="4">
        <v>11</v>
      </c>
      <c r="F1101" s="8">
        <v>2.1800000000000002</v>
      </c>
      <c r="G1101" s="4">
        <v>10</v>
      </c>
      <c r="H1101" s="8">
        <v>1.4</v>
      </c>
      <c r="I1101" s="4">
        <v>0</v>
      </c>
    </row>
    <row r="1102" spans="1:9" x14ac:dyDescent="0.2">
      <c r="A1102" s="2">
        <v>15</v>
      </c>
      <c r="B1102" s="1" t="s">
        <v>166</v>
      </c>
      <c r="C1102" s="4">
        <v>18</v>
      </c>
      <c r="D1102" s="8">
        <v>1.47</v>
      </c>
      <c r="E1102" s="4">
        <v>2</v>
      </c>
      <c r="F1102" s="8">
        <v>0.4</v>
      </c>
      <c r="G1102" s="4">
        <v>16</v>
      </c>
      <c r="H1102" s="8">
        <v>2.25</v>
      </c>
      <c r="I1102" s="4">
        <v>0</v>
      </c>
    </row>
    <row r="1103" spans="1:9" x14ac:dyDescent="0.2">
      <c r="A1103" s="2">
        <v>16</v>
      </c>
      <c r="B1103" s="1" t="s">
        <v>159</v>
      </c>
      <c r="C1103" s="4">
        <v>17</v>
      </c>
      <c r="D1103" s="8">
        <v>1.39</v>
      </c>
      <c r="E1103" s="4">
        <v>7</v>
      </c>
      <c r="F1103" s="8">
        <v>1.39</v>
      </c>
      <c r="G1103" s="4">
        <v>10</v>
      </c>
      <c r="H1103" s="8">
        <v>1.4</v>
      </c>
      <c r="I1103" s="4">
        <v>0</v>
      </c>
    </row>
    <row r="1104" spans="1:9" x14ac:dyDescent="0.2">
      <c r="A1104" s="2">
        <v>16</v>
      </c>
      <c r="B1104" s="1" t="s">
        <v>177</v>
      </c>
      <c r="C1104" s="4">
        <v>17</v>
      </c>
      <c r="D1104" s="8">
        <v>1.39</v>
      </c>
      <c r="E1104" s="4">
        <v>3</v>
      </c>
      <c r="F1104" s="8">
        <v>0.6</v>
      </c>
      <c r="G1104" s="4">
        <v>14</v>
      </c>
      <c r="H1104" s="8">
        <v>1.97</v>
      </c>
      <c r="I1104" s="4">
        <v>0</v>
      </c>
    </row>
    <row r="1105" spans="1:9" x14ac:dyDescent="0.2">
      <c r="A1105" s="2">
        <v>16</v>
      </c>
      <c r="B1105" s="1" t="s">
        <v>161</v>
      </c>
      <c r="C1105" s="4">
        <v>17</v>
      </c>
      <c r="D1105" s="8">
        <v>1.39</v>
      </c>
      <c r="E1105" s="4">
        <v>2</v>
      </c>
      <c r="F1105" s="8">
        <v>0.4</v>
      </c>
      <c r="G1105" s="4">
        <v>15</v>
      </c>
      <c r="H1105" s="8">
        <v>2.11</v>
      </c>
      <c r="I1105" s="4">
        <v>0</v>
      </c>
    </row>
    <row r="1106" spans="1:9" x14ac:dyDescent="0.2">
      <c r="A1106" s="2">
        <v>16</v>
      </c>
      <c r="B1106" s="1" t="s">
        <v>215</v>
      </c>
      <c r="C1106" s="4">
        <v>17</v>
      </c>
      <c r="D1106" s="8">
        <v>1.39</v>
      </c>
      <c r="E1106" s="4">
        <v>6</v>
      </c>
      <c r="F1106" s="8">
        <v>1.19</v>
      </c>
      <c r="G1106" s="4">
        <v>11</v>
      </c>
      <c r="H1106" s="8">
        <v>1.54</v>
      </c>
      <c r="I1106" s="4">
        <v>0</v>
      </c>
    </row>
    <row r="1107" spans="1:9" x14ac:dyDescent="0.2">
      <c r="A1107" s="2">
        <v>20</v>
      </c>
      <c r="B1107" s="1" t="s">
        <v>197</v>
      </c>
      <c r="C1107" s="4">
        <v>16</v>
      </c>
      <c r="D1107" s="8">
        <v>1.31</v>
      </c>
      <c r="E1107" s="4">
        <v>1</v>
      </c>
      <c r="F1107" s="8">
        <v>0.2</v>
      </c>
      <c r="G1107" s="4">
        <v>15</v>
      </c>
      <c r="H1107" s="8">
        <v>2.11</v>
      </c>
      <c r="I1107" s="4">
        <v>0</v>
      </c>
    </row>
    <row r="1108" spans="1:9" x14ac:dyDescent="0.2">
      <c r="A1108" s="1"/>
      <c r="C1108" s="4"/>
      <c r="D1108" s="8"/>
      <c r="E1108" s="4"/>
      <c r="F1108" s="8"/>
      <c r="G1108" s="4"/>
      <c r="H1108" s="8"/>
      <c r="I1108" s="4"/>
    </row>
    <row r="1109" spans="1:9" x14ac:dyDescent="0.2">
      <c r="A1109" s="1" t="s">
        <v>49</v>
      </c>
      <c r="C1109" s="4"/>
      <c r="D1109" s="8"/>
      <c r="E1109" s="4"/>
      <c r="F1109" s="8"/>
      <c r="G1109" s="4"/>
      <c r="H1109" s="8"/>
      <c r="I1109" s="4"/>
    </row>
    <row r="1110" spans="1:9" x14ac:dyDescent="0.2">
      <c r="A1110" s="2">
        <v>1</v>
      </c>
      <c r="B1110" s="1" t="s">
        <v>173</v>
      </c>
      <c r="C1110" s="4">
        <v>104</v>
      </c>
      <c r="D1110" s="8">
        <v>6.23</v>
      </c>
      <c r="E1110" s="4">
        <v>83</v>
      </c>
      <c r="F1110" s="8">
        <v>10.95</v>
      </c>
      <c r="G1110" s="4">
        <v>21</v>
      </c>
      <c r="H1110" s="8">
        <v>2.3199999999999998</v>
      </c>
      <c r="I1110" s="4">
        <v>0</v>
      </c>
    </row>
    <row r="1111" spans="1:9" x14ac:dyDescent="0.2">
      <c r="A1111" s="2">
        <v>2</v>
      </c>
      <c r="B1111" s="1" t="s">
        <v>167</v>
      </c>
      <c r="C1111" s="4">
        <v>67</v>
      </c>
      <c r="D1111" s="8">
        <v>4.01</v>
      </c>
      <c r="E1111" s="4">
        <v>15</v>
      </c>
      <c r="F1111" s="8">
        <v>1.98</v>
      </c>
      <c r="G1111" s="4">
        <v>52</v>
      </c>
      <c r="H1111" s="8">
        <v>5.73</v>
      </c>
      <c r="I1111" s="4">
        <v>0</v>
      </c>
    </row>
    <row r="1112" spans="1:9" x14ac:dyDescent="0.2">
      <c r="A1112" s="2">
        <v>3</v>
      </c>
      <c r="B1112" s="1" t="s">
        <v>172</v>
      </c>
      <c r="C1112" s="4">
        <v>61</v>
      </c>
      <c r="D1112" s="8">
        <v>3.65</v>
      </c>
      <c r="E1112" s="4">
        <v>53</v>
      </c>
      <c r="F1112" s="8">
        <v>6.99</v>
      </c>
      <c r="G1112" s="4">
        <v>8</v>
      </c>
      <c r="H1112" s="8">
        <v>0.88</v>
      </c>
      <c r="I1112" s="4">
        <v>0</v>
      </c>
    </row>
    <row r="1113" spans="1:9" x14ac:dyDescent="0.2">
      <c r="A1113" s="2">
        <v>4</v>
      </c>
      <c r="B1113" s="1" t="s">
        <v>170</v>
      </c>
      <c r="C1113" s="4">
        <v>59</v>
      </c>
      <c r="D1113" s="8">
        <v>3.53</v>
      </c>
      <c r="E1113" s="4">
        <v>56</v>
      </c>
      <c r="F1113" s="8">
        <v>7.39</v>
      </c>
      <c r="G1113" s="4">
        <v>3</v>
      </c>
      <c r="H1113" s="8">
        <v>0.33</v>
      </c>
      <c r="I1113" s="4">
        <v>0</v>
      </c>
    </row>
    <row r="1114" spans="1:9" x14ac:dyDescent="0.2">
      <c r="A1114" s="2">
        <v>5</v>
      </c>
      <c r="B1114" s="1" t="s">
        <v>174</v>
      </c>
      <c r="C1114" s="4">
        <v>56</v>
      </c>
      <c r="D1114" s="8">
        <v>3.35</v>
      </c>
      <c r="E1114" s="4">
        <v>47</v>
      </c>
      <c r="F1114" s="8">
        <v>6.2</v>
      </c>
      <c r="G1114" s="4">
        <v>9</v>
      </c>
      <c r="H1114" s="8">
        <v>0.99</v>
      </c>
      <c r="I1114" s="4">
        <v>0</v>
      </c>
    </row>
    <row r="1115" spans="1:9" x14ac:dyDescent="0.2">
      <c r="A1115" s="2">
        <v>6</v>
      </c>
      <c r="B1115" s="1" t="s">
        <v>169</v>
      </c>
      <c r="C1115" s="4">
        <v>45</v>
      </c>
      <c r="D1115" s="8">
        <v>2.69</v>
      </c>
      <c r="E1115" s="4">
        <v>34</v>
      </c>
      <c r="F1115" s="8">
        <v>4.49</v>
      </c>
      <c r="G1115" s="4">
        <v>11</v>
      </c>
      <c r="H1115" s="8">
        <v>1.21</v>
      </c>
      <c r="I1115" s="4">
        <v>0</v>
      </c>
    </row>
    <row r="1116" spans="1:9" x14ac:dyDescent="0.2">
      <c r="A1116" s="2">
        <v>7</v>
      </c>
      <c r="B1116" s="1" t="s">
        <v>164</v>
      </c>
      <c r="C1116" s="4">
        <v>40</v>
      </c>
      <c r="D1116" s="8">
        <v>2.4</v>
      </c>
      <c r="E1116" s="4">
        <v>29</v>
      </c>
      <c r="F1116" s="8">
        <v>3.83</v>
      </c>
      <c r="G1116" s="4">
        <v>11</v>
      </c>
      <c r="H1116" s="8">
        <v>1.21</v>
      </c>
      <c r="I1116" s="4">
        <v>0</v>
      </c>
    </row>
    <row r="1117" spans="1:9" x14ac:dyDescent="0.2">
      <c r="A1117" s="2">
        <v>7</v>
      </c>
      <c r="B1117" s="1" t="s">
        <v>175</v>
      </c>
      <c r="C1117" s="4">
        <v>40</v>
      </c>
      <c r="D1117" s="8">
        <v>2.4</v>
      </c>
      <c r="E1117" s="4">
        <v>35</v>
      </c>
      <c r="F1117" s="8">
        <v>4.62</v>
      </c>
      <c r="G1117" s="4">
        <v>5</v>
      </c>
      <c r="H1117" s="8">
        <v>0.55000000000000004</v>
      </c>
      <c r="I1117" s="4">
        <v>0</v>
      </c>
    </row>
    <row r="1118" spans="1:9" x14ac:dyDescent="0.2">
      <c r="A1118" s="2">
        <v>9</v>
      </c>
      <c r="B1118" s="1" t="s">
        <v>168</v>
      </c>
      <c r="C1118" s="4">
        <v>39</v>
      </c>
      <c r="D1118" s="8">
        <v>2.34</v>
      </c>
      <c r="E1118" s="4">
        <v>1</v>
      </c>
      <c r="F1118" s="8">
        <v>0.13</v>
      </c>
      <c r="G1118" s="4">
        <v>38</v>
      </c>
      <c r="H1118" s="8">
        <v>4.1900000000000004</v>
      </c>
      <c r="I1118" s="4">
        <v>0</v>
      </c>
    </row>
    <row r="1119" spans="1:9" x14ac:dyDescent="0.2">
      <c r="A1119" s="2">
        <v>10</v>
      </c>
      <c r="B1119" s="1" t="s">
        <v>162</v>
      </c>
      <c r="C1119" s="4">
        <v>38</v>
      </c>
      <c r="D1119" s="8">
        <v>2.2799999999999998</v>
      </c>
      <c r="E1119" s="4">
        <v>26</v>
      </c>
      <c r="F1119" s="8">
        <v>3.43</v>
      </c>
      <c r="G1119" s="4">
        <v>12</v>
      </c>
      <c r="H1119" s="8">
        <v>1.32</v>
      </c>
      <c r="I1119" s="4">
        <v>0</v>
      </c>
    </row>
    <row r="1120" spans="1:9" x14ac:dyDescent="0.2">
      <c r="A1120" s="2">
        <v>11</v>
      </c>
      <c r="B1120" s="1" t="s">
        <v>165</v>
      </c>
      <c r="C1120" s="4">
        <v>33</v>
      </c>
      <c r="D1120" s="8">
        <v>1.98</v>
      </c>
      <c r="E1120" s="4">
        <v>2</v>
      </c>
      <c r="F1120" s="8">
        <v>0.26</v>
      </c>
      <c r="G1120" s="4">
        <v>31</v>
      </c>
      <c r="H1120" s="8">
        <v>3.42</v>
      </c>
      <c r="I1120" s="4">
        <v>0</v>
      </c>
    </row>
    <row r="1121" spans="1:9" x14ac:dyDescent="0.2">
      <c r="A1121" s="2">
        <v>12</v>
      </c>
      <c r="B1121" s="1" t="s">
        <v>158</v>
      </c>
      <c r="C1121" s="4">
        <v>30</v>
      </c>
      <c r="D1121" s="8">
        <v>1.8</v>
      </c>
      <c r="E1121" s="4">
        <v>6</v>
      </c>
      <c r="F1121" s="8">
        <v>0.79</v>
      </c>
      <c r="G1121" s="4">
        <v>24</v>
      </c>
      <c r="H1121" s="8">
        <v>2.65</v>
      </c>
      <c r="I1121" s="4">
        <v>0</v>
      </c>
    </row>
    <row r="1122" spans="1:9" x14ac:dyDescent="0.2">
      <c r="A1122" s="2">
        <v>12</v>
      </c>
      <c r="B1122" s="1" t="s">
        <v>161</v>
      </c>
      <c r="C1122" s="4">
        <v>30</v>
      </c>
      <c r="D1122" s="8">
        <v>1.8</v>
      </c>
      <c r="E1122" s="4">
        <v>3</v>
      </c>
      <c r="F1122" s="8">
        <v>0.4</v>
      </c>
      <c r="G1122" s="4">
        <v>27</v>
      </c>
      <c r="H1122" s="8">
        <v>2.98</v>
      </c>
      <c r="I1122" s="4">
        <v>0</v>
      </c>
    </row>
    <row r="1123" spans="1:9" x14ac:dyDescent="0.2">
      <c r="A1123" s="2">
        <v>14</v>
      </c>
      <c r="B1123" s="1" t="s">
        <v>185</v>
      </c>
      <c r="C1123" s="4">
        <v>27</v>
      </c>
      <c r="D1123" s="8">
        <v>1.62</v>
      </c>
      <c r="E1123" s="4">
        <v>10</v>
      </c>
      <c r="F1123" s="8">
        <v>1.32</v>
      </c>
      <c r="G1123" s="4">
        <v>17</v>
      </c>
      <c r="H1123" s="8">
        <v>1.87</v>
      </c>
      <c r="I1123" s="4">
        <v>0</v>
      </c>
    </row>
    <row r="1124" spans="1:9" x14ac:dyDescent="0.2">
      <c r="A1124" s="2">
        <v>15</v>
      </c>
      <c r="B1124" s="1" t="s">
        <v>171</v>
      </c>
      <c r="C1124" s="4">
        <v>26</v>
      </c>
      <c r="D1124" s="8">
        <v>1.56</v>
      </c>
      <c r="E1124" s="4">
        <v>14</v>
      </c>
      <c r="F1124" s="8">
        <v>1.85</v>
      </c>
      <c r="G1124" s="4">
        <v>12</v>
      </c>
      <c r="H1124" s="8">
        <v>1.32</v>
      </c>
      <c r="I1124" s="4">
        <v>0</v>
      </c>
    </row>
    <row r="1125" spans="1:9" x14ac:dyDescent="0.2">
      <c r="A1125" s="2">
        <v>16</v>
      </c>
      <c r="B1125" s="1" t="s">
        <v>191</v>
      </c>
      <c r="C1125" s="4">
        <v>25</v>
      </c>
      <c r="D1125" s="8">
        <v>1.5</v>
      </c>
      <c r="E1125" s="4">
        <v>24</v>
      </c>
      <c r="F1125" s="8">
        <v>3.17</v>
      </c>
      <c r="G1125" s="4">
        <v>1</v>
      </c>
      <c r="H1125" s="8">
        <v>0.11</v>
      </c>
      <c r="I1125" s="4">
        <v>0</v>
      </c>
    </row>
    <row r="1126" spans="1:9" x14ac:dyDescent="0.2">
      <c r="A1126" s="2">
        <v>17</v>
      </c>
      <c r="B1126" s="1" t="s">
        <v>179</v>
      </c>
      <c r="C1126" s="4">
        <v>24</v>
      </c>
      <c r="D1126" s="8">
        <v>1.44</v>
      </c>
      <c r="E1126" s="4">
        <v>20</v>
      </c>
      <c r="F1126" s="8">
        <v>2.64</v>
      </c>
      <c r="G1126" s="4">
        <v>4</v>
      </c>
      <c r="H1126" s="8">
        <v>0.44</v>
      </c>
      <c r="I1126" s="4">
        <v>0</v>
      </c>
    </row>
    <row r="1127" spans="1:9" x14ac:dyDescent="0.2">
      <c r="A1127" s="2">
        <v>18</v>
      </c>
      <c r="B1127" s="1" t="s">
        <v>197</v>
      </c>
      <c r="C1127" s="4">
        <v>23</v>
      </c>
      <c r="D1127" s="8">
        <v>1.38</v>
      </c>
      <c r="E1127" s="4">
        <v>6</v>
      </c>
      <c r="F1127" s="8">
        <v>0.79</v>
      </c>
      <c r="G1127" s="4">
        <v>17</v>
      </c>
      <c r="H1127" s="8">
        <v>1.87</v>
      </c>
      <c r="I1127" s="4">
        <v>0</v>
      </c>
    </row>
    <row r="1128" spans="1:9" x14ac:dyDescent="0.2">
      <c r="A1128" s="2">
        <v>18</v>
      </c>
      <c r="B1128" s="1" t="s">
        <v>166</v>
      </c>
      <c r="C1128" s="4">
        <v>23</v>
      </c>
      <c r="D1128" s="8">
        <v>1.38</v>
      </c>
      <c r="E1128" s="4">
        <v>2</v>
      </c>
      <c r="F1128" s="8">
        <v>0.26</v>
      </c>
      <c r="G1128" s="4">
        <v>21</v>
      </c>
      <c r="H1128" s="8">
        <v>2.3199999999999998</v>
      </c>
      <c r="I1128" s="4">
        <v>0</v>
      </c>
    </row>
    <row r="1129" spans="1:9" x14ac:dyDescent="0.2">
      <c r="A1129" s="2">
        <v>20</v>
      </c>
      <c r="B1129" s="1" t="s">
        <v>157</v>
      </c>
      <c r="C1129" s="4">
        <v>21</v>
      </c>
      <c r="D1129" s="8">
        <v>1.26</v>
      </c>
      <c r="E1129" s="4">
        <v>1</v>
      </c>
      <c r="F1129" s="8">
        <v>0.13</v>
      </c>
      <c r="G1129" s="4">
        <v>20</v>
      </c>
      <c r="H1129" s="8">
        <v>2.21</v>
      </c>
      <c r="I1129" s="4">
        <v>0</v>
      </c>
    </row>
    <row r="1130" spans="1:9" x14ac:dyDescent="0.2">
      <c r="A1130" s="2">
        <v>20</v>
      </c>
      <c r="B1130" s="1" t="s">
        <v>177</v>
      </c>
      <c r="C1130" s="4">
        <v>21</v>
      </c>
      <c r="D1130" s="8">
        <v>1.26</v>
      </c>
      <c r="E1130" s="4">
        <v>2</v>
      </c>
      <c r="F1130" s="8">
        <v>0.26</v>
      </c>
      <c r="G1130" s="4">
        <v>19</v>
      </c>
      <c r="H1130" s="8">
        <v>2.09</v>
      </c>
      <c r="I1130" s="4">
        <v>0</v>
      </c>
    </row>
    <row r="1131" spans="1:9" x14ac:dyDescent="0.2">
      <c r="A1131" s="2">
        <v>20</v>
      </c>
      <c r="B1131" s="1" t="s">
        <v>160</v>
      </c>
      <c r="C1131" s="4">
        <v>21</v>
      </c>
      <c r="D1131" s="8">
        <v>1.26</v>
      </c>
      <c r="E1131" s="4">
        <v>5</v>
      </c>
      <c r="F1131" s="8">
        <v>0.66</v>
      </c>
      <c r="G1131" s="4">
        <v>16</v>
      </c>
      <c r="H1131" s="8">
        <v>1.76</v>
      </c>
      <c r="I1131" s="4">
        <v>0</v>
      </c>
    </row>
    <row r="1132" spans="1:9" x14ac:dyDescent="0.2">
      <c r="A1132" s="1"/>
      <c r="C1132" s="4"/>
      <c r="D1132" s="8"/>
      <c r="E1132" s="4"/>
      <c r="F1132" s="8"/>
      <c r="G1132" s="4"/>
      <c r="H1132" s="8"/>
      <c r="I1132" s="4"/>
    </row>
    <row r="1133" spans="1:9" x14ac:dyDescent="0.2">
      <c r="A1133" s="1" t="s">
        <v>50</v>
      </c>
      <c r="C1133" s="4"/>
      <c r="D1133" s="8"/>
      <c r="E1133" s="4"/>
      <c r="F1133" s="8"/>
      <c r="G1133" s="4"/>
      <c r="H1133" s="8"/>
      <c r="I1133" s="4"/>
    </row>
    <row r="1134" spans="1:9" x14ac:dyDescent="0.2">
      <c r="A1134" s="2">
        <v>1</v>
      </c>
      <c r="B1134" s="1" t="s">
        <v>173</v>
      </c>
      <c r="C1134" s="4">
        <v>50</v>
      </c>
      <c r="D1134" s="8">
        <v>6.05</v>
      </c>
      <c r="E1134" s="4">
        <v>43</v>
      </c>
      <c r="F1134" s="8">
        <v>10.26</v>
      </c>
      <c r="G1134" s="4">
        <v>7</v>
      </c>
      <c r="H1134" s="8">
        <v>1.74</v>
      </c>
      <c r="I1134" s="4">
        <v>0</v>
      </c>
    </row>
    <row r="1135" spans="1:9" x14ac:dyDescent="0.2">
      <c r="A1135" s="2">
        <v>2</v>
      </c>
      <c r="B1135" s="1" t="s">
        <v>167</v>
      </c>
      <c r="C1135" s="4">
        <v>42</v>
      </c>
      <c r="D1135" s="8">
        <v>5.08</v>
      </c>
      <c r="E1135" s="4">
        <v>29</v>
      </c>
      <c r="F1135" s="8">
        <v>6.92</v>
      </c>
      <c r="G1135" s="4">
        <v>13</v>
      </c>
      <c r="H1135" s="8">
        <v>3.23</v>
      </c>
      <c r="I1135" s="4">
        <v>0</v>
      </c>
    </row>
    <row r="1136" spans="1:9" x14ac:dyDescent="0.2">
      <c r="A1136" s="2">
        <v>3</v>
      </c>
      <c r="B1136" s="1" t="s">
        <v>172</v>
      </c>
      <c r="C1136" s="4">
        <v>26</v>
      </c>
      <c r="D1136" s="8">
        <v>3.15</v>
      </c>
      <c r="E1136" s="4">
        <v>23</v>
      </c>
      <c r="F1136" s="8">
        <v>5.49</v>
      </c>
      <c r="G1136" s="4">
        <v>3</v>
      </c>
      <c r="H1136" s="8">
        <v>0.74</v>
      </c>
      <c r="I1136" s="4">
        <v>0</v>
      </c>
    </row>
    <row r="1137" spans="1:9" x14ac:dyDescent="0.2">
      <c r="A1137" s="2">
        <v>3</v>
      </c>
      <c r="B1137" s="1" t="s">
        <v>174</v>
      </c>
      <c r="C1137" s="4">
        <v>26</v>
      </c>
      <c r="D1137" s="8">
        <v>3.15</v>
      </c>
      <c r="E1137" s="4">
        <v>21</v>
      </c>
      <c r="F1137" s="8">
        <v>5.01</v>
      </c>
      <c r="G1137" s="4">
        <v>5</v>
      </c>
      <c r="H1137" s="8">
        <v>1.24</v>
      </c>
      <c r="I1137" s="4">
        <v>0</v>
      </c>
    </row>
    <row r="1138" spans="1:9" x14ac:dyDescent="0.2">
      <c r="A1138" s="2">
        <v>5</v>
      </c>
      <c r="B1138" s="1" t="s">
        <v>209</v>
      </c>
      <c r="C1138" s="4">
        <v>24</v>
      </c>
      <c r="D1138" s="8">
        <v>2.91</v>
      </c>
      <c r="E1138" s="4">
        <v>22</v>
      </c>
      <c r="F1138" s="8">
        <v>5.25</v>
      </c>
      <c r="G1138" s="4">
        <v>1</v>
      </c>
      <c r="H1138" s="8">
        <v>0.25</v>
      </c>
      <c r="I1138" s="4">
        <v>1</v>
      </c>
    </row>
    <row r="1139" spans="1:9" x14ac:dyDescent="0.2">
      <c r="A1139" s="2">
        <v>6</v>
      </c>
      <c r="B1139" s="1" t="s">
        <v>158</v>
      </c>
      <c r="C1139" s="4">
        <v>19</v>
      </c>
      <c r="D1139" s="8">
        <v>2.2999999999999998</v>
      </c>
      <c r="E1139" s="4">
        <v>5</v>
      </c>
      <c r="F1139" s="8">
        <v>1.19</v>
      </c>
      <c r="G1139" s="4">
        <v>14</v>
      </c>
      <c r="H1139" s="8">
        <v>3.47</v>
      </c>
      <c r="I1139" s="4">
        <v>0</v>
      </c>
    </row>
    <row r="1140" spans="1:9" x14ac:dyDescent="0.2">
      <c r="A1140" s="2">
        <v>6</v>
      </c>
      <c r="B1140" s="1" t="s">
        <v>163</v>
      </c>
      <c r="C1140" s="4">
        <v>19</v>
      </c>
      <c r="D1140" s="8">
        <v>2.2999999999999998</v>
      </c>
      <c r="E1140" s="4">
        <v>10</v>
      </c>
      <c r="F1140" s="8">
        <v>2.39</v>
      </c>
      <c r="G1140" s="4">
        <v>9</v>
      </c>
      <c r="H1140" s="8">
        <v>2.23</v>
      </c>
      <c r="I1140" s="4">
        <v>0</v>
      </c>
    </row>
    <row r="1141" spans="1:9" x14ac:dyDescent="0.2">
      <c r="A1141" s="2">
        <v>8</v>
      </c>
      <c r="B1141" s="1" t="s">
        <v>189</v>
      </c>
      <c r="C1141" s="4">
        <v>17</v>
      </c>
      <c r="D1141" s="8">
        <v>2.06</v>
      </c>
      <c r="E1141" s="4">
        <v>17</v>
      </c>
      <c r="F1141" s="8">
        <v>4.0599999999999996</v>
      </c>
      <c r="G1141" s="4">
        <v>0</v>
      </c>
      <c r="H1141" s="8">
        <v>0</v>
      </c>
      <c r="I1141" s="4">
        <v>0</v>
      </c>
    </row>
    <row r="1142" spans="1:9" x14ac:dyDescent="0.2">
      <c r="A1142" s="2">
        <v>8</v>
      </c>
      <c r="B1142" s="1" t="s">
        <v>170</v>
      </c>
      <c r="C1142" s="4">
        <v>17</v>
      </c>
      <c r="D1142" s="8">
        <v>2.06</v>
      </c>
      <c r="E1142" s="4">
        <v>14</v>
      </c>
      <c r="F1142" s="8">
        <v>3.34</v>
      </c>
      <c r="G1142" s="4">
        <v>3</v>
      </c>
      <c r="H1142" s="8">
        <v>0.74</v>
      </c>
      <c r="I1142" s="4">
        <v>0</v>
      </c>
    </row>
    <row r="1143" spans="1:9" x14ac:dyDescent="0.2">
      <c r="A1143" s="2">
        <v>8</v>
      </c>
      <c r="B1143" s="1" t="s">
        <v>175</v>
      </c>
      <c r="C1143" s="4">
        <v>17</v>
      </c>
      <c r="D1143" s="8">
        <v>2.06</v>
      </c>
      <c r="E1143" s="4">
        <v>13</v>
      </c>
      <c r="F1143" s="8">
        <v>3.1</v>
      </c>
      <c r="G1143" s="4">
        <v>4</v>
      </c>
      <c r="H1143" s="8">
        <v>0.99</v>
      </c>
      <c r="I1143" s="4">
        <v>0</v>
      </c>
    </row>
    <row r="1144" spans="1:9" x14ac:dyDescent="0.2">
      <c r="A1144" s="2">
        <v>11</v>
      </c>
      <c r="B1144" s="1" t="s">
        <v>161</v>
      </c>
      <c r="C1144" s="4">
        <v>14</v>
      </c>
      <c r="D1144" s="8">
        <v>1.69</v>
      </c>
      <c r="E1144" s="4">
        <v>4</v>
      </c>
      <c r="F1144" s="8">
        <v>0.95</v>
      </c>
      <c r="G1144" s="4">
        <v>10</v>
      </c>
      <c r="H1144" s="8">
        <v>2.48</v>
      </c>
      <c r="I1144" s="4">
        <v>0</v>
      </c>
    </row>
    <row r="1145" spans="1:9" x14ac:dyDescent="0.2">
      <c r="A1145" s="2">
        <v>11</v>
      </c>
      <c r="B1145" s="1" t="s">
        <v>162</v>
      </c>
      <c r="C1145" s="4">
        <v>14</v>
      </c>
      <c r="D1145" s="8">
        <v>1.69</v>
      </c>
      <c r="E1145" s="4">
        <v>12</v>
      </c>
      <c r="F1145" s="8">
        <v>2.86</v>
      </c>
      <c r="G1145" s="4">
        <v>2</v>
      </c>
      <c r="H1145" s="8">
        <v>0.5</v>
      </c>
      <c r="I1145" s="4">
        <v>0</v>
      </c>
    </row>
    <row r="1146" spans="1:9" x14ac:dyDescent="0.2">
      <c r="A1146" s="2">
        <v>11</v>
      </c>
      <c r="B1146" s="1" t="s">
        <v>185</v>
      </c>
      <c r="C1146" s="4">
        <v>14</v>
      </c>
      <c r="D1146" s="8">
        <v>1.69</v>
      </c>
      <c r="E1146" s="4">
        <v>7</v>
      </c>
      <c r="F1146" s="8">
        <v>1.67</v>
      </c>
      <c r="G1146" s="4">
        <v>7</v>
      </c>
      <c r="H1146" s="8">
        <v>1.74</v>
      </c>
      <c r="I1146" s="4">
        <v>0</v>
      </c>
    </row>
    <row r="1147" spans="1:9" x14ac:dyDescent="0.2">
      <c r="A1147" s="2">
        <v>11</v>
      </c>
      <c r="B1147" s="1" t="s">
        <v>164</v>
      </c>
      <c r="C1147" s="4">
        <v>14</v>
      </c>
      <c r="D1147" s="8">
        <v>1.69</v>
      </c>
      <c r="E1147" s="4">
        <v>8</v>
      </c>
      <c r="F1147" s="8">
        <v>1.91</v>
      </c>
      <c r="G1147" s="4">
        <v>6</v>
      </c>
      <c r="H1147" s="8">
        <v>1.49</v>
      </c>
      <c r="I1147" s="4">
        <v>0</v>
      </c>
    </row>
    <row r="1148" spans="1:9" x14ac:dyDescent="0.2">
      <c r="A1148" s="2">
        <v>11</v>
      </c>
      <c r="B1148" s="1" t="s">
        <v>166</v>
      </c>
      <c r="C1148" s="4">
        <v>14</v>
      </c>
      <c r="D1148" s="8">
        <v>1.69</v>
      </c>
      <c r="E1148" s="4">
        <v>1</v>
      </c>
      <c r="F1148" s="8">
        <v>0.24</v>
      </c>
      <c r="G1148" s="4">
        <v>13</v>
      </c>
      <c r="H1148" s="8">
        <v>3.23</v>
      </c>
      <c r="I1148" s="4">
        <v>0</v>
      </c>
    </row>
    <row r="1149" spans="1:9" x14ac:dyDescent="0.2">
      <c r="A1149" s="2">
        <v>16</v>
      </c>
      <c r="B1149" s="1" t="s">
        <v>159</v>
      </c>
      <c r="C1149" s="4">
        <v>13</v>
      </c>
      <c r="D1149" s="8">
        <v>1.57</v>
      </c>
      <c r="E1149" s="4">
        <v>6</v>
      </c>
      <c r="F1149" s="8">
        <v>1.43</v>
      </c>
      <c r="G1149" s="4">
        <v>7</v>
      </c>
      <c r="H1149" s="8">
        <v>1.74</v>
      </c>
      <c r="I1149" s="4">
        <v>0</v>
      </c>
    </row>
    <row r="1150" spans="1:9" x14ac:dyDescent="0.2">
      <c r="A1150" s="2">
        <v>16</v>
      </c>
      <c r="B1150" s="1" t="s">
        <v>160</v>
      </c>
      <c r="C1150" s="4">
        <v>13</v>
      </c>
      <c r="D1150" s="8">
        <v>1.57</v>
      </c>
      <c r="E1150" s="4">
        <v>0</v>
      </c>
      <c r="F1150" s="8">
        <v>0</v>
      </c>
      <c r="G1150" s="4">
        <v>13</v>
      </c>
      <c r="H1150" s="8">
        <v>3.23</v>
      </c>
      <c r="I1150" s="4">
        <v>0</v>
      </c>
    </row>
    <row r="1151" spans="1:9" x14ac:dyDescent="0.2">
      <c r="A1151" s="2">
        <v>16</v>
      </c>
      <c r="B1151" s="1" t="s">
        <v>171</v>
      </c>
      <c r="C1151" s="4">
        <v>13</v>
      </c>
      <c r="D1151" s="8">
        <v>1.57</v>
      </c>
      <c r="E1151" s="4">
        <v>7</v>
      </c>
      <c r="F1151" s="8">
        <v>1.67</v>
      </c>
      <c r="G1151" s="4">
        <v>6</v>
      </c>
      <c r="H1151" s="8">
        <v>1.49</v>
      </c>
      <c r="I1151" s="4">
        <v>0</v>
      </c>
    </row>
    <row r="1152" spans="1:9" x14ac:dyDescent="0.2">
      <c r="A1152" s="2">
        <v>16</v>
      </c>
      <c r="B1152" s="1" t="s">
        <v>179</v>
      </c>
      <c r="C1152" s="4">
        <v>13</v>
      </c>
      <c r="D1152" s="8">
        <v>1.57</v>
      </c>
      <c r="E1152" s="4">
        <v>8</v>
      </c>
      <c r="F1152" s="8">
        <v>1.91</v>
      </c>
      <c r="G1152" s="4">
        <v>5</v>
      </c>
      <c r="H1152" s="8">
        <v>1.24</v>
      </c>
      <c r="I1152" s="4">
        <v>0</v>
      </c>
    </row>
    <row r="1153" spans="1:9" x14ac:dyDescent="0.2">
      <c r="A1153" s="2">
        <v>20</v>
      </c>
      <c r="B1153" s="1" t="s">
        <v>178</v>
      </c>
      <c r="C1153" s="4">
        <v>12</v>
      </c>
      <c r="D1153" s="8">
        <v>1.45</v>
      </c>
      <c r="E1153" s="4">
        <v>4</v>
      </c>
      <c r="F1153" s="8">
        <v>0.95</v>
      </c>
      <c r="G1153" s="4">
        <v>8</v>
      </c>
      <c r="H1153" s="8">
        <v>1.99</v>
      </c>
      <c r="I1153" s="4">
        <v>0</v>
      </c>
    </row>
    <row r="1154" spans="1:9" x14ac:dyDescent="0.2">
      <c r="A1154" s="2">
        <v>20</v>
      </c>
      <c r="B1154" s="1" t="s">
        <v>176</v>
      </c>
      <c r="C1154" s="4">
        <v>12</v>
      </c>
      <c r="D1154" s="8">
        <v>1.45</v>
      </c>
      <c r="E1154" s="4">
        <v>7</v>
      </c>
      <c r="F1154" s="8">
        <v>1.67</v>
      </c>
      <c r="G1154" s="4">
        <v>5</v>
      </c>
      <c r="H1154" s="8">
        <v>1.24</v>
      </c>
      <c r="I1154" s="4">
        <v>0</v>
      </c>
    </row>
    <row r="1155" spans="1:9" x14ac:dyDescent="0.2">
      <c r="A1155" s="1"/>
      <c r="C1155" s="4"/>
      <c r="D1155" s="8"/>
      <c r="E1155" s="4"/>
      <c r="F1155" s="8"/>
      <c r="G1155" s="4"/>
      <c r="H1155" s="8"/>
      <c r="I1155" s="4"/>
    </row>
    <row r="1156" spans="1:9" x14ac:dyDescent="0.2">
      <c r="A1156" s="1" t="s">
        <v>51</v>
      </c>
      <c r="C1156" s="4"/>
      <c r="D1156" s="8"/>
      <c r="E1156" s="4"/>
      <c r="F1156" s="8"/>
      <c r="G1156" s="4"/>
      <c r="H1156" s="8"/>
      <c r="I1156" s="4"/>
    </row>
    <row r="1157" spans="1:9" x14ac:dyDescent="0.2">
      <c r="A1157" s="2">
        <v>1</v>
      </c>
      <c r="B1157" s="1" t="s">
        <v>173</v>
      </c>
      <c r="C1157" s="4">
        <v>28</v>
      </c>
      <c r="D1157" s="8">
        <v>3.84</v>
      </c>
      <c r="E1157" s="4">
        <v>27</v>
      </c>
      <c r="F1157" s="8">
        <v>9</v>
      </c>
      <c r="G1157" s="4">
        <v>1</v>
      </c>
      <c r="H1157" s="8">
        <v>0.24</v>
      </c>
      <c r="I1157" s="4">
        <v>0</v>
      </c>
    </row>
    <row r="1158" spans="1:9" x14ac:dyDescent="0.2">
      <c r="A1158" s="2">
        <v>2</v>
      </c>
      <c r="B1158" s="1" t="s">
        <v>174</v>
      </c>
      <c r="C1158" s="4">
        <v>27</v>
      </c>
      <c r="D1158" s="8">
        <v>3.7</v>
      </c>
      <c r="E1158" s="4">
        <v>24</v>
      </c>
      <c r="F1158" s="8">
        <v>8</v>
      </c>
      <c r="G1158" s="4">
        <v>3</v>
      </c>
      <c r="H1158" s="8">
        <v>0.72</v>
      </c>
      <c r="I1158" s="4">
        <v>0</v>
      </c>
    </row>
    <row r="1159" spans="1:9" x14ac:dyDescent="0.2">
      <c r="A1159" s="2">
        <v>3</v>
      </c>
      <c r="B1159" s="1" t="s">
        <v>161</v>
      </c>
      <c r="C1159" s="4">
        <v>26</v>
      </c>
      <c r="D1159" s="8">
        <v>3.56</v>
      </c>
      <c r="E1159" s="4">
        <v>4</v>
      </c>
      <c r="F1159" s="8">
        <v>1.33</v>
      </c>
      <c r="G1159" s="4">
        <v>22</v>
      </c>
      <c r="H1159" s="8">
        <v>5.29</v>
      </c>
      <c r="I1159" s="4">
        <v>0</v>
      </c>
    </row>
    <row r="1160" spans="1:9" x14ac:dyDescent="0.2">
      <c r="A1160" s="2">
        <v>4</v>
      </c>
      <c r="B1160" s="1" t="s">
        <v>172</v>
      </c>
      <c r="C1160" s="4">
        <v>23</v>
      </c>
      <c r="D1160" s="8">
        <v>3.15</v>
      </c>
      <c r="E1160" s="4">
        <v>22</v>
      </c>
      <c r="F1160" s="8">
        <v>7.33</v>
      </c>
      <c r="G1160" s="4">
        <v>1</v>
      </c>
      <c r="H1160" s="8">
        <v>0.24</v>
      </c>
      <c r="I1160" s="4">
        <v>0</v>
      </c>
    </row>
    <row r="1161" spans="1:9" x14ac:dyDescent="0.2">
      <c r="A1161" s="2">
        <v>5</v>
      </c>
      <c r="B1161" s="1" t="s">
        <v>163</v>
      </c>
      <c r="C1161" s="4">
        <v>21</v>
      </c>
      <c r="D1161" s="8">
        <v>2.88</v>
      </c>
      <c r="E1161" s="4">
        <v>5</v>
      </c>
      <c r="F1161" s="8">
        <v>1.67</v>
      </c>
      <c r="G1161" s="4">
        <v>16</v>
      </c>
      <c r="H1161" s="8">
        <v>3.85</v>
      </c>
      <c r="I1161" s="4">
        <v>0</v>
      </c>
    </row>
    <row r="1162" spans="1:9" x14ac:dyDescent="0.2">
      <c r="A1162" s="2">
        <v>5</v>
      </c>
      <c r="B1162" s="1" t="s">
        <v>175</v>
      </c>
      <c r="C1162" s="4">
        <v>21</v>
      </c>
      <c r="D1162" s="8">
        <v>2.88</v>
      </c>
      <c r="E1162" s="4">
        <v>18</v>
      </c>
      <c r="F1162" s="8">
        <v>6</v>
      </c>
      <c r="G1162" s="4">
        <v>3</v>
      </c>
      <c r="H1162" s="8">
        <v>0.72</v>
      </c>
      <c r="I1162" s="4">
        <v>0</v>
      </c>
    </row>
    <row r="1163" spans="1:9" x14ac:dyDescent="0.2">
      <c r="A1163" s="2">
        <v>7</v>
      </c>
      <c r="B1163" s="1" t="s">
        <v>167</v>
      </c>
      <c r="C1163" s="4">
        <v>18</v>
      </c>
      <c r="D1163" s="8">
        <v>2.4700000000000002</v>
      </c>
      <c r="E1163" s="4">
        <v>6</v>
      </c>
      <c r="F1163" s="8">
        <v>2</v>
      </c>
      <c r="G1163" s="4">
        <v>12</v>
      </c>
      <c r="H1163" s="8">
        <v>2.88</v>
      </c>
      <c r="I1163" s="4">
        <v>0</v>
      </c>
    </row>
    <row r="1164" spans="1:9" x14ac:dyDescent="0.2">
      <c r="A1164" s="2">
        <v>7</v>
      </c>
      <c r="B1164" s="1" t="s">
        <v>169</v>
      </c>
      <c r="C1164" s="4">
        <v>18</v>
      </c>
      <c r="D1164" s="8">
        <v>2.4700000000000002</v>
      </c>
      <c r="E1164" s="4">
        <v>16</v>
      </c>
      <c r="F1164" s="8">
        <v>5.33</v>
      </c>
      <c r="G1164" s="4">
        <v>2</v>
      </c>
      <c r="H1164" s="8">
        <v>0.48</v>
      </c>
      <c r="I1164" s="4">
        <v>0</v>
      </c>
    </row>
    <row r="1165" spans="1:9" x14ac:dyDescent="0.2">
      <c r="A1165" s="2">
        <v>9</v>
      </c>
      <c r="B1165" s="1" t="s">
        <v>160</v>
      </c>
      <c r="C1165" s="4">
        <v>17</v>
      </c>
      <c r="D1165" s="8">
        <v>2.33</v>
      </c>
      <c r="E1165" s="4">
        <v>3</v>
      </c>
      <c r="F1165" s="8">
        <v>1</v>
      </c>
      <c r="G1165" s="4">
        <v>14</v>
      </c>
      <c r="H1165" s="8">
        <v>3.37</v>
      </c>
      <c r="I1165" s="4">
        <v>0</v>
      </c>
    </row>
    <row r="1166" spans="1:9" x14ac:dyDescent="0.2">
      <c r="A1166" s="2">
        <v>10</v>
      </c>
      <c r="B1166" s="1" t="s">
        <v>177</v>
      </c>
      <c r="C1166" s="4">
        <v>14</v>
      </c>
      <c r="D1166" s="8">
        <v>1.92</v>
      </c>
      <c r="E1166" s="4">
        <v>4</v>
      </c>
      <c r="F1166" s="8">
        <v>1.33</v>
      </c>
      <c r="G1166" s="4">
        <v>10</v>
      </c>
      <c r="H1166" s="8">
        <v>2.4</v>
      </c>
      <c r="I1166" s="4">
        <v>0</v>
      </c>
    </row>
    <row r="1167" spans="1:9" x14ac:dyDescent="0.2">
      <c r="A1167" s="2">
        <v>10</v>
      </c>
      <c r="B1167" s="1" t="s">
        <v>179</v>
      </c>
      <c r="C1167" s="4">
        <v>14</v>
      </c>
      <c r="D1167" s="8">
        <v>1.92</v>
      </c>
      <c r="E1167" s="4">
        <v>8</v>
      </c>
      <c r="F1167" s="8">
        <v>2.67</v>
      </c>
      <c r="G1167" s="4">
        <v>6</v>
      </c>
      <c r="H1167" s="8">
        <v>1.44</v>
      </c>
      <c r="I1167" s="4">
        <v>0</v>
      </c>
    </row>
    <row r="1168" spans="1:9" x14ac:dyDescent="0.2">
      <c r="A1168" s="2">
        <v>10</v>
      </c>
      <c r="B1168" s="1" t="s">
        <v>176</v>
      </c>
      <c r="C1168" s="4">
        <v>14</v>
      </c>
      <c r="D1168" s="8">
        <v>1.92</v>
      </c>
      <c r="E1168" s="4">
        <v>6</v>
      </c>
      <c r="F1168" s="8">
        <v>2</v>
      </c>
      <c r="G1168" s="4">
        <v>8</v>
      </c>
      <c r="H1168" s="8">
        <v>1.92</v>
      </c>
      <c r="I1168" s="4">
        <v>0</v>
      </c>
    </row>
    <row r="1169" spans="1:9" x14ac:dyDescent="0.2">
      <c r="A1169" s="2">
        <v>13</v>
      </c>
      <c r="B1169" s="1" t="s">
        <v>157</v>
      </c>
      <c r="C1169" s="4">
        <v>13</v>
      </c>
      <c r="D1169" s="8">
        <v>1.78</v>
      </c>
      <c r="E1169" s="4">
        <v>0</v>
      </c>
      <c r="F1169" s="8">
        <v>0</v>
      </c>
      <c r="G1169" s="4">
        <v>13</v>
      </c>
      <c r="H1169" s="8">
        <v>3.13</v>
      </c>
      <c r="I1169" s="4">
        <v>0</v>
      </c>
    </row>
    <row r="1170" spans="1:9" x14ac:dyDescent="0.2">
      <c r="A1170" s="2">
        <v>13</v>
      </c>
      <c r="B1170" s="1" t="s">
        <v>197</v>
      </c>
      <c r="C1170" s="4">
        <v>13</v>
      </c>
      <c r="D1170" s="8">
        <v>1.78</v>
      </c>
      <c r="E1170" s="4">
        <v>7</v>
      </c>
      <c r="F1170" s="8">
        <v>2.33</v>
      </c>
      <c r="G1170" s="4">
        <v>6</v>
      </c>
      <c r="H1170" s="8">
        <v>1.44</v>
      </c>
      <c r="I1170" s="4">
        <v>0</v>
      </c>
    </row>
    <row r="1171" spans="1:9" x14ac:dyDescent="0.2">
      <c r="A1171" s="2">
        <v>13</v>
      </c>
      <c r="B1171" s="1" t="s">
        <v>200</v>
      </c>
      <c r="C1171" s="4">
        <v>13</v>
      </c>
      <c r="D1171" s="8">
        <v>1.78</v>
      </c>
      <c r="E1171" s="4">
        <v>4</v>
      </c>
      <c r="F1171" s="8">
        <v>1.33</v>
      </c>
      <c r="G1171" s="4">
        <v>9</v>
      </c>
      <c r="H1171" s="8">
        <v>2.16</v>
      </c>
      <c r="I1171" s="4">
        <v>0</v>
      </c>
    </row>
    <row r="1172" spans="1:9" x14ac:dyDescent="0.2">
      <c r="A1172" s="2">
        <v>16</v>
      </c>
      <c r="B1172" s="1" t="s">
        <v>158</v>
      </c>
      <c r="C1172" s="4">
        <v>12</v>
      </c>
      <c r="D1172" s="8">
        <v>1.64</v>
      </c>
      <c r="E1172" s="4">
        <v>0</v>
      </c>
      <c r="F1172" s="8">
        <v>0</v>
      </c>
      <c r="G1172" s="4">
        <v>12</v>
      </c>
      <c r="H1172" s="8">
        <v>2.88</v>
      </c>
      <c r="I1172" s="4">
        <v>0</v>
      </c>
    </row>
    <row r="1173" spans="1:9" x14ac:dyDescent="0.2">
      <c r="A1173" s="2">
        <v>16</v>
      </c>
      <c r="B1173" s="1" t="s">
        <v>196</v>
      </c>
      <c r="C1173" s="4">
        <v>12</v>
      </c>
      <c r="D1173" s="8">
        <v>1.64</v>
      </c>
      <c r="E1173" s="4">
        <v>0</v>
      </c>
      <c r="F1173" s="8">
        <v>0</v>
      </c>
      <c r="G1173" s="4">
        <v>0</v>
      </c>
      <c r="H1173" s="8">
        <v>0</v>
      </c>
      <c r="I1173" s="4">
        <v>0</v>
      </c>
    </row>
    <row r="1174" spans="1:9" x14ac:dyDescent="0.2">
      <c r="A1174" s="2">
        <v>18</v>
      </c>
      <c r="B1174" s="1" t="s">
        <v>162</v>
      </c>
      <c r="C1174" s="4">
        <v>11</v>
      </c>
      <c r="D1174" s="8">
        <v>1.51</v>
      </c>
      <c r="E1174" s="4">
        <v>7</v>
      </c>
      <c r="F1174" s="8">
        <v>2.33</v>
      </c>
      <c r="G1174" s="4">
        <v>4</v>
      </c>
      <c r="H1174" s="8">
        <v>0.96</v>
      </c>
      <c r="I1174" s="4">
        <v>0</v>
      </c>
    </row>
    <row r="1175" spans="1:9" x14ac:dyDescent="0.2">
      <c r="A1175" s="2">
        <v>19</v>
      </c>
      <c r="B1175" s="1" t="s">
        <v>159</v>
      </c>
      <c r="C1175" s="4">
        <v>10</v>
      </c>
      <c r="D1175" s="8">
        <v>1.37</v>
      </c>
      <c r="E1175" s="4">
        <v>5</v>
      </c>
      <c r="F1175" s="8">
        <v>1.67</v>
      </c>
      <c r="G1175" s="4">
        <v>5</v>
      </c>
      <c r="H1175" s="8">
        <v>1.2</v>
      </c>
      <c r="I1175" s="4">
        <v>0</v>
      </c>
    </row>
    <row r="1176" spans="1:9" x14ac:dyDescent="0.2">
      <c r="A1176" s="2">
        <v>20</v>
      </c>
      <c r="B1176" s="1" t="s">
        <v>182</v>
      </c>
      <c r="C1176" s="4">
        <v>9</v>
      </c>
      <c r="D1176" s="8">
        <v>1.23</v>
      </c>
      <c r="E1176" s="4">
        <v>3</v>
      </c>
      <c r="F1176" s="8">
        <v>1</v>
      </c>
      <c r="G1176" s="4">
        <v>6</v>
      </c>
      <c r="H1176" s="8">
        <v>1.44</v>
      </c>
      <c r="I1176" s="4">
        <v>0</v>
      </c>
    </row>
    <row r="1177" spans="1:9" x14ac:dyDescent="0.2">
      <c r="A1177" s="2">
        <v>20</v>
      </c>
      <c r="B1177" s="1" t="s">
        <v>188</v>
      </c>
      <c r="C1177" s="4">
        <v>9</v>
      </c>
      <c r="D1177" s="8">
        <v>1.23</v>
      </c>
      <c r="E1177" s="4">
        <v>8</v>
      </c>
      <c r="F1177" s="8">
        <v>2.67</v>
      </c>
      <c r="G1177" s="4">
        <v>1</v>
      </c>
      <c r="H1177" s="8">
        <v>0.24</v>
      </c>
      <c r="I1177" s="4">
        <v>0</v>
      </c>
    </row>
    <row r="1178" spans="1:9" x14ac:dyDescent="0.2">
      <c r="A1178" s="2">
        <v>20</v>
      </c>
      <c r="B1178" s="1" t="s">
        <v>168</v>
      </c>
      <c r="C1178" s="4">
        <v>9</v>
      </c>
      <c r="D1178" s="8">
        <v>1.23</v>
      </c>
      <c r="E1178" s="4">
        <v>0</v>
      </c>
      <c r="F1178" s="8">
        <v>0</v>
      </c>
      <c r="G1178" s="4">
        <v>9</v>
      </c>
      <c r="H1178" s="8">
        <v>2.16</v>
      </c>
      <c r="I1178" s="4">
        <v>0</v>
      </c>
    </row>
    <row r="1179" spans="1:9" x14ac:dyDescent="0.2">
      <c r="A1179" s="2">
        <v>20</v>
      </c>
      <c r="B1179" s="1" t="s">
        <v>178</v>
      </c>
      <c r="C1179" s="4">
        <v>9</v>
      </c>
      <c r="D1179" s="8">
        <v>1.23</v>
      </c>
      <c r="E1179" s="4">
        <v>4</v>
      </c>
      <c r="F1179" s="8">
        <v>1.33</v>
      </c>
      <c r="G1179" s="4">
        <v>5</v>
      </c>
      <c r="H1179" s="8">
        <v>1.2</v>
      </c>
      <c r="I1179" s="4">
        <v>0</v>
      </c>
    </row>
    <row r="1180" spans="1:9" x14ac:dyDescent="0.2">
      <c r="A1180" s="2">
        <v>20</v>
      </c>
      <c r="B1180" s="1" t="s">
        <v>170</v>
      </c>
      <c r="C1180" s="4">
        <v>9</v>
      </c>
      <c r="D1180" s="8">
        <v>1.23</v>
      </c>
      <c r="E1180" s="4">
        <v>9</v>
      </c>
      <c r="F1180" s="8">
        <v>3</v>
      </c>
      <c r="G1180" s="4">
        <v>0</v>
      </c>
      <c r="H1180" s="8">
        <v>0</v>
      </c>
      <c r="I1180" s="4">
        <v>0</v>
      </c>
    </row>
    <row r="1181" spans="1:9" x14ac:dyDescent="0.2">
      <c r="A1181" s="1"/>
      <c r="C1181" s="4"/>
      <c r="D1181" s="8"/>
      <c r="E1181" s="4"/>
      <c r="F1181" s="8"/>
      <c r="G1181" s="4"/>
      <c r="H1181" s="8"/>
      <c r="I1181" s="4"/>
    </row>
    <row r="1182" spans="1:9" x14ac:dyDescent="0.2">
      <c r="A1182" s="1" t="s">
        <v>52</v>
      </c>
      <c r="C1182" s="4"/>
      <c r="D1182" s="8"/>
      <c r="E1182" s="4"/>
      <c r="F1182" s="8"/>
      <c r="G1182" s="4"/>
      <c r="H1182" s="8"/>
      <c r="I1182" s="4"/>
    </row>
    <row r="1183" spans="1:9" x14ac:dyDescent="0.2">
      <c r="A1183" s="2">
        <v>1</v>
      </c>
      <c r="B1183" s="1" t="s">
        <v>166</v>
      </c>
      <c r="C1183" s="4">
        <v>72</v>
      </c>
      <c r="D1183" s="8">
        <v>9.08</v>
      </c>
      <c r="E1183" s="4">
        <v>2</v>
      </c>
      <c r="F1183" s="8">
        <v>1.1399999999999999</v>
      </c>
      <c r="G1183" s="4">
        <v>70</v>
      </c>
      <c r="H1183" s="8">
        <v>11.51</v>
      </c>
      <c r="I1183" s="4">
        <v>0</v>
      </c>
    </row>
    <row r="1184" spans="1:9" x14ac:dyDescent="0.2">
      <c r="A1184" s="2">
        <v>2</v>
      </c>
      <c r="B1184" s="1" t="s">
        <v>182</v>
      </c>
      <c r="C1184" s="4">
        <v>24</v>
      </c>
      <c r="D1184" s="8">
        <v>3.03</v>
      </c>
      <c r="E1184" s="4">
        <v>2</v>
      </c>
      <c r="F1184" s="8">
        <v>1.1399999999999999</v>
      </c>
      <c r="G1184" s="4">
        <v>22</v>
      </c>
      <c r="H1184" s="8">
        <v>3.62</v>
      </c>
      <c r="I1184" s="4">
        <v>0</v>
      </c>
    </row>
    <row r="1185" spans="1:9" x14ac:dyDescent="0.2">
      <c r="A1185" s="2">
        <v>3</v>
      </c>
      <c r="B1185" s="1" t="s">
        <v>161</v>
      </c>
      <c r="C1185" s="4">
        <v>21</v>
      </c>
      <c r="D1185" s="8">
        <v>2.65</v>
      </c>
      <c r="E1185" s="4">
        <v>0</v>
      </c>
      <c r="F1185" s="8">
        <v>0</v>
      </c>
      <c r="G1185" s="4">
        <v>21</v>
      </c>
      <c r="H1185" s="8">
        <v>3.45</v>
      </c>
      <c r="I1185" s="4">
        <v>0</v>
      </c>
    </row>
    <row r="1186" spans="1:9" x14ac:dyDescent="0.2">
      <c r="A1186" s="2">
        <v>3</v>
      </c>
      <c r="B1186" s="1" t="s">
        <v>167</v>
      </c>
      <c r="C1186" s="4">
        <v>21</v>
      </c>
      <c r="D1186" s="8">
        <v>2.65</v>
      </c>
      <c r="E1186" s="4">
        <v>1</v>
      </c>
      <c r="F1186" s="8">
        <v>0.56999999999999995</v>
      </c>
      <c r="G1186" s="4">
        <v>20</v>
      </c>
      <c r="H1186" s="8">
        <v>3.29</v>
      </c>
      <c r="I1186" s="4">
        <v>0</v>
      </c>
    </row>
    <row r="1187" spans="1:9" x14ac:dyDescent="0.2">
      <c r="A1187" s="2">
        <v>5</v>
      </c>
      <c r="B1187" s="1" t="s">
        <v>176</v>
      </c>
      <c r="C1187" s="4">
        <v>18</v>
      </c>
      <c r="D1187" s="8">
        <v>2.27</v>
      </c>
      <c r="E1187" s="4">
        <v>6</v>
      </c>
      <c r="F1187" s="8">
        <v>3.41</v>
      </c>
      <c r="G1187" s="4">
        <v>12</v>
      </c>
      <c r="H1187" s="8">
        <v>1.97</v>
      </c>
      <c r="I1187" s="4">
        <v>0</v>
      </c>
    </row>
    <row r="1188" spans="1:9" x14ac:dyDescent="0.2">
      <c r="A1188" s="2">
        <v>6</v>
      </c>
      <c r="B1188" s="1" t="s">
        <v>157</v>
      </c>
      <c r="C1188" s="4">
        <v>17</v>
      </c>
      <c r="D1188" s="8">
        <v>2.14</v>
      </c>
      <c r="E1188" s="4">
        <v>3</v>
      </c>
      <c r="F1188" s="8">
        <v>1.7</v>
      </c>
      <c r="G1188" s="4">
        <v>14</v>
      </c>
      <c r="H1188" s="8">
        <v>2.2999999999999998</v>
      </c>
      <c r="I1188" s="4">
        <v>0</v>
      </c>
    </row>
    <row r="1189" spans="1:9" x14ac:dyDescent="0.2">
      <c r="A1189" s="2">
        <v>6</v>
      </c>
      <c r="B1189" s="1" t="s">
        <v>168</v>
      </c>
      <c r="C1189" s="4">
        <v>17</v>
      </c>
      <c r="D1189" s="8">
        <v>2.14</v>
      </c>
      <c r="E1189" s="4">
        <v>0</v>
      </c>
      <c r="F1189" s="8">
        <v>0</v>
      </c>
      <c r="G1189" s="4">
        <v>17</v>
      </c>
      <c r="H1189" s="8">
        <v>2.8</v>
      </c>
      <c r="I1189" s="4">
        <v>0</v>
      </c>
    </row>
    <row r="1190" spans="1:9" x14ac:dyDescent="0.2">
      <c r="A1190" s="2">
        <v>8</v>
      </c>
      <c r="B1190" s="1" t="s">
        <v>172</v>
      </c>
      <c r="C1190" s="4">
        <v>16</v>
      </c>
      <c r="D1190" s="8">
        <v>2.02</v>
      </c>
      <c r="E1190" s="4">
        <v>14</v>
      </c>
      <c r="F1190" s="8">
        <v>7.95</v>
      </c>
      <c r="G1190" s="4">
        <v>2</v>
      </c>
      <c r="H1190" s="8">
        <v>0.33</v>
      </c>
      <c r="I1190" s="4">
        <v>0</v>
      </c>
    </row>
    <row r="1191" spans="1:9" x14ac:dyDescent="0.2">
      <c r="A1191" s="2">
        <v>9</v>
      </c>
      <c r="B1191" s="1" t="s">
        <v>173</v>
      </c>
      <c r="C1191" s="4">
        <v>15</v>
      </c>
      <c r="D1191" s="8">
        <v>1.89</v>
      </c>
      <c r="E1191" s="4">
        <v>15</v>
      </c>
      <c r="F1191" s="8">
        <v>8.52</v>
      </c>
      <c r="G1191" s="4">
        <v>0</v>
      </c>
      <c r="H1191" s="8">
        <v>0</v>
      </c>
      <c r="I1191" s="4">
        <v>0</v>
      </c>
    </row>
    <row r="1192" spans="1:9" x14ac:dyDescent="0.2">
      <c r="A1192" s="2">
        <v>10</v>
      </c>
      <c r="B1192" s="1" t="s">
        <v>210</v>
      </c>
      <c r="C1192" s="4">
        <v>14</v>
      </c>
      <c r="D1192" s="8">
        <v>1.77</v>
      </c>
      <c r="E1192" s="4">
        <v>2</v>
      </c>
      <c r="F1192" s="8">
        <v>1.1399999999999999</v>
      </c>
      <c r="G1192" s="4">
        <v>12</v>
      </c>
      <c r="H1192" s="8">
        <v>1.97</v>
      </c>
      <c r="I1192" s="4">
        <v>0</v>
      </c>
    </row>
    <row r="1193" spans="1:9" x14ac:dyDescent="0.2">
      <c r="A1193" s="2">
        <v>11</v>
      </c>
      <c r="B1193" s="1" t="s">
        <v>160</v>
      </c>
      <c r="C1193" s="4">
        <v>13</v>
      </c>
      <c r="D1193" s="8">
        <v>1.64</v>
      </c>
      <c r="E1193" s="4">
        <v>1</v>
      </c>
      <c r="F1193" s="8">
        <v>0.56999999999999995</v>
      </c>
      <c r="G1193" s="4">
        <v>12</v>
      </c>
      <c r="H1193" s="8">
        <v>1.97</v>
      </c>
      <c r="I1193" s="4">
        <v>0</v>
      </c>
    </row>
    <row r="1194" spans="1:9" x14ac:dyDescent="0.2">
      <c r="A1194" s="2">
        <v>11</v>
      </c>
      <c r="B1194" s="1" t="s">
        <v>163</v>
      </c>
      <c r="C1194" s="4">
        <v>13</v>
      </c>
      <c r="D1194" s="8">
        <v>1.64</v>
      </c>
      <c r="E1194" s="4">
        <v>4</v>
      </c>
      <c r="F1194" s="8">
        <v>2.27</v>
      </c>
      <c r="G1194" s="4">
        <v>9</v>
      </c>
      <c r="H1194" s="8">
        <v>1.48</v>
      </c>
      <c r="I1194" s="4">
        <v>0</v>
      </c>
    </row>
    <row r="1195" spans="1:9" x14ac:dyDescent="0.2">
      <c r="A1195" s="2">
        <v>13</v>
      </c>
      <c r="B1195" s="1" t="s">
        <v>219</v>
      </c>
      <c r="C1195" s="4">
        <v>12</v>
      </c>
      <c r="D1195" s="8">
        <v>1.51</v>
      </c>
      <c r="E1195" s="4">
        <v>3</v>
      </c>
      <c r="F1195" s="8">
        <v>1.7</v>
      </c>
      <c r="G1195" s="4">
        <v>9</v>
      </c>
      <c r="H1195" s="8">
        <v>1.48</v>
      </c>
      <c r="I1195" s="4">
        <v>0</v>
      </c>
    </row>
    <row r="1196" spans="1:9" x14ac:dyDescent="0.2">
      <c r="A1196" s="2">
        <v>13</v>
      </c>
      <c r="B1196" s="1" t="s">
        <v>175</v>
      </c>
      <c r="C1196" s="4">
        <v>12</v>
      </c>
      <c r="D1196" s="8">
        <v>1.51</v>
      </c>
      <c r="E1196" s="4">
        <v>12</v>
      </c>
      <c r="F1196" s="8">
        <v>6.82</v>
      </c>
      <c r="G1196" s="4">
        <v>0</v>
      </c>
      <c r="H1196" s="8">
        <v>0</v>
      </c>
      <c r="I1196" s="4">
        <v>0</v>
      </c>
    </row>
    <row r="1197" spans="1:9" x14ac:dyDescent="0.2">
      <c r="A1197" s="2">
        <v>15</v>
      </c>
      <c r="B1197" s="1" t="s">
        <v>177</v>
      </c>
      <c r="C1197" s="4">
        <v>11</v>
      </c>
      <c r="D1197" s="8">
        <v>1.39</v>
      </c>
      <c r="E1197" s="4">
        <v>0</v>
      </c>
      <c r="F1197" s="8">
        <v>0</v>
      </c>
      <c r="G1197" s="4">
        <v>11</v>
      </c>
      <c r="H1197" s="8">
        <v>1.81</v>
      </c>
      <c r="I1197" s="4">
        <v>0</v>
      </c>
    </row>
    <row r="1198" spans="1:9" x14ac:dyDescent="0.2">
      <c r="A1198" s="2">
        <v>15</v>
      </c>
      <c r="B1198" s="1" t="s">
        <v>211</v>
      </c>
      <c r="C1198" s="4">
        <v>11</v>
      </c>
      <c r="D1198" s="8">
        <v>1.39</v>
      </c>
      <c r="E1198" s="4">
        <v>1</v>
      </c>
      <c r="F1198" s="8">
        <v>0.56999999999999995</v>
      </c>
      <c r="G1198" s="4">
        <v>10</v>
      </c>
      <c r="H1198" s="8">
        <v>1.64</v>
      </c>
      <c r="I1198" s="4">
        <v>0</v>
      </c>
    </row>
    <row r="1199" spans="1:9" x14ac:dyDescent="0.2">
      <c r="A1199" s="2">
        <v>15</v>
      </c>
      <c r="B1199" s="1" t="s">
        <v>174</v>
      </c>
      <c r="C1199" s="4">
        <v>11</v>
      </c>
      <c r="D1199" s="8">
        <v>1.39</v>
      </c>
      <c r="E1199" s="4">
        <v>7</v>
      </c>
      <c r="F1199" s="8">
        <v>3.98</v>
      </c>
      <c r="G1199" s="4">
        <v>4</v>
      </c>
      <c r="H1199" s="8">
        <v>0.66</v>
      </c>
      <c r="I1199" s="4">
        <v>0</v>
      </c>
    </row>
    <row r="1200" spans="1:9" x14ac:dyDescent="0.2">
      <c r="A1200" s="2">
        <v>18</v>
      </c>
      <c r="B1200" s="1" t="s">
        <v>158</v>
      </c>
      <c r="C1200" s="4">
        <v>10</v>
      </c>
      <c r="D1200" s="8">
        <v>1.26</v>
      </c>
      <c r="E1200" s="4">
        <v>1</v>
      </c>
      <c r="F1200" s="8">
        <v>0.56999999999999995</v>
      </c>
      <c r="G1200" s="4">
        <v>9</v>
      </c>
      <c r="H1200" s="8">
        <v>1.48</v>
      </c>
      <c r="I1200" s="4">
        <v>0</v>
      </c>
    </row>
    <row r="1201" spans="1:9" x14ac:dyDescent="0.2">
      <c r="A1201" s="2">
        <v>18</v>
      </c>
      <c r="B1201" s="1" t="s">
        <v>221</v>
      </c>
      <c r="C1201" s="4">
        <v>10</v>
      </c>
      <c r="D1201" s="8">
        <v>1.26</v>
      </c>
      <c r="E1201" s="4">
        <v>0</v>
      </c>
      <c r="F1201" s="8">
        <v>0</v>
      </c>
      <c r="G1201" s="4">
        <v>10</v>
      </c>
      <c r="H1201" s="8">
        <v>1.64</v>
      </c>
      <c r="I1201" s="4">
        <v>0</v>
      </c>
    </row>
    <row r="1202" spans="1:9" x14ac:dyDescent="0.2">
      <c r="A1202" s="2">
        <v>20</v>
      </c>
      <c r="B1202" s="1" t="s">
        <v>159</v>
      </c>
      <c r="C1202" s="4">
        <v>9</v>
      </c>
      <c r="D1202" s="8">
        <v>1.1299999999999999</v>
      </c>
      <c r="E1202" s="4">
        <v>5</v>
      </c>
      <c r="F1202" s="8">
        <v>2.84</v>
      </c>
      <c r="G1202" s="4">
        <v>4</v>
      </c>
      <c r="H1202" s="8">
        <v>0.66</v>
      </c>
      <c r="I1202" s="4">
        <v>0</v>
      </c>
    </row>
    <row r="1203" spans="1:9" x14ac:dyDescent="0.2">
      <c r="A1203" s="2">
        <v>20</v>
      </c>
      <c r="B1203" s="1" t="s">
        <v>220</v>
      </c>
      <c r="C1203" s="4">
        <v>9</v>
      </c>
      <c r="D1203" s="8">
        <v>1.1299999999999999</v>
      </c>
      <c r="E1203" s="4">
        <v>2</v>
      </c>
      <c r="F1203" s="8">
        <v>1.1399999999999999</v>
      </c>
      <c r="G1203" s="4">
        <v>7</v>
      </c>
      <c r="H1203" s="8">
        <v>1.1499999999999999</v>
      </c>
      <c r="I1203" s="4">
        <v>0</v>
      </c>
    </row>
    <row r="1204" spans="1:9" x14ac:dyDescent="0.2">
      <c r="A1204" s="2">
        <v>20</v>
      </c>
      <c r="B1204" s="1" t="s">
        <v>222</v>
      </c>
      <c r="C1204" s="4">
        <v>9</v>
      </c>
      <c r="D1204" s="8">
        <v>1.1299999999999999</v>
      </c>
      <c r="E1204" s="4">
        <v>0</v>
      </c>
      <c r="F1204" s="8">
        <v>0</v>
      </c>
      <c r="G1204" s="4">
        <v>9</v>
      </c>
      <c r="H1204" s="8">
        <v>1.48</v>
      </c>
      <c r="I1204" s="4">
        <v>0</v>
      </c>
    </row>
    <row r="1205" spans="1:9" x14ac:dyDescent="0.2">
      <c r="A1205" s="1"/>
      <c r="C1205" s="4"/>
      <c r="D1205" s="8"/>
      <c r="E1205" s="4"/>
      <c r="F1205" s="8"/>
      <c r="G1205" s="4"/>
      <c r="H1205" s="8"/>
      <c r="I1205" s="4"/>
    </row>
    <row r="1206" spans="1:9" x14ac:dyDescent="0.2">
      <c r="A1206" s="1" t="s">
        <v>53</v>
      </c>
      <c r="C1206" s="4"/>
      <c r="D1206" s="8"/>
      <c r="E1206" s="4"/>
      <c r="F1206" s="8"/>
      <c r="G1206" s="4"/>
      <c r="H1206" s="8"/>
      <c r="I1206" s="4"/>
    </row>
    <row r="1207" spans="1:9" x14ac:dyDescent="0.2">
      <c r="A1207" s="2">
        <v>1</v>
      </c>
      <c r="B1207" s="1" t="s">
        <v>170</v>
      </c>
      <c r="C1207" s="4">
        <v>37</v>
      </c>
      <c r="D1207" s="8">
        <v>5.45</v>
      </c>
      <c r="E1207" s="4">
        <v>35</v>
      </c>
      <c r="F1207" s="8">
        <v>9.31</v>
      </c>
      <c r="G1207" s="4">
        <v>2</v>
      </c>
      <c r="H1207" s="8">
        <v>0.67</v>
      </c>
      <c r="I1207" s="4">
        <v>0</v>
      </c>
    </row>
    <row r="1208" spans="1:9" x14ac:dyDescent="0.2">
      <c r="A1208" s="2">
        <v>2</v>
      </c>
      <c r="B1208" s="1" t="s">
        <v>173</v>
      </c>
      <c r="C1208" s="4">
        <v>36</v>
      </c>
      <c r="D1208" s="8">
        <v>5.3</v>
      </c>
      <c r="E1208" s="4">
        <v>34</v>
      </c>
      <c r="F1208" s="8">
        <v>9.0399999999999991</v>
      </c>
      <c r="G1208" s="4">
        <v>2</v>
      </c>
      <c r="H1208" s="8">
        <v>0.67</v>
      </c>
      <c r="I1208" s="4">
        <v>0</v>
      </c>
    </row>
    <row r="1209" spans="1:9" x14ac:dyDescent="0.2">
      <c r="A1209" s="2">
        <v>3</v>
      </c>
      <c r="B1209" s="1" t="s">
        <v>172</v>
      </c>
      <c r="C1209" s="4">
        <v>30</v>
      </c>
      <c r="D1209" s="8">
        <v>4.42</v>
      </c>
      <c r="E1209" s="4">
        <v>29</v>
      </c>
      <c r="F1209" s="8">
        <v>7.71</v>
      </c>
      <c r="G1209" s="4">
        <v>1</v>
      </c>
      <c r="H1209" s="8">
        <v>0.33</v>
      </c>
      <c r="I1209" s="4">
        <v>0</v>
      </c>
    </row>
    <row r="1210" spans="1:9" x14ac:dyDescent="0.2">
      <c r="A1210" s="2">
        <v>4</v>
      </c>
      <c r="B1210" s="1" t="s">
        <v>169</v>
      </c>
      <c r="C1210" s="4">
        <v>21</v>
      </c>
      <c r="D1210" s="8">
        <v>3.09</v>
      </c>
      <c r="E1210" s="4">
        <v>18</v>
      </c>
      <c r="F1210" s="8">
        <v>4.79</v>
      </c>
      <c r="G1210" s="4">
        <v>3</v>
      </c>
      <c r="H1210" s="8">
        <v>1</v>
      </c>
      <c r="I1210" s="4">
        <v>0</v>
      </c>
    </row>
    <row r="1211" spans="1:9" x14ac:dyDescent="0.2">
      <c r="A1211" s="2">
        <v>5</v>
      </c>
      <c r="B1211" s="1" t="s">
        <v>162</v>
      </c>
      <c r="C1211" s="4">
        <v>19</v>
      </c>
      <c r="D1211" s="8">
        <v>2.8</v>
      </c>
      <c r="E1211" s="4">
        <v>11</v>
      </c>
      <c r="F1211" s="8">
        <v>2.93</v>
      </c>
      <c r="G1211" s="4">
        <v>8</v>
      </c>
      <c r="H1211" s="8">
        <v>2.67</v>
      </c>
      <c r="I1211" s="4">
        <v>0</v>
      </c>
    </row>
    <row r="1212" spans="1:9" x14ac:dyDescent="0.2">
      <c r="A1212" s="2">
        <v>5</v>
      </c>
      <c r="B1212" s="1" t="s">
        <v>174</v>
      </c>
      <c r="C1212" s="4">
        <v>19</v>
      </c>
      <c r="D1212" s="8">
        <v>2.8</v>
      </c>
      <c r="E1212" s="4">
        <v>15</v>
      </c>
      <c r="F1212" s="8">
        <v>3.99</v>
      </c>
      <c r="G1212" s="4">
        <v>4</v>
      </c>
      <c r="H1212" s="8">
        <v>1.33</v>
      </c>
      <c r="I1212" s="4">
        <v>0</v>
      </c>
    </row>
    <row r="1213" spans="1:9" x14ac:dyDescent="0.2">
      <c r="A1213" s="2">
        <v>7</v>
      </c>
      <c r="B1213" s="1" t="s">
        <v>167</v>
      </c>
      <c r="C1213" s="4">
        <v>17</v>
      </c>
      <c r="D1213" s="8">
        <v>2.5</v>
      </c>
      <c r="E1213" s="4">
        <v>10</v>
      </c>
      <c r="F1213" s="8">
        <v>2.66</v>
      </c>
      <c r="G1213" s="4">
        <v>7</v>
      </c>
      <c r="H1213" s="8">
        <v>2.33</v>
      </c>
      <c r="I1213" s="4">
        <v>0</v>
      </c>
    </row>
    <row r="1214" spans="1:9" x14ac:dyDescent="0.2">
      <c r="A1214" s="2">
        <v>8</v>
      </c>
      <c r="B1214" s="1" t="s">
        <v>175</v>
      </c>
      <c r="C1214" s="4">
        <v>16</v>
      </c>
      <c r="D1214" s="8">
        <v>2.36</v>
      </c>
      <c r="E1214" s="4">
        <v>13</v>
      </c>
      <c r="F1214" s="8">
        <v>3.46</v>
      </c>
      <c r="G1214" s="4">
        <v>3</v>
      </c>
      <c r="H1214" s="8">
        <v>1</v>
      </c>
      <c r="I1214" s="4">
        <v>0</v>
      </c>
    </row>
    <row r="1215" spans="1:9" x14ac:dyDescent="0.2">
      <c r="A1215" s="2">
        <v>9</v>
      </c>
      <c r="B1215" s="1" t="s">
        <v>164</v>
      </c>
      <c r="C1215" s="4">
        <v>15</v>
      </c>
      <c r="D1215" s="8">
        <v>2.21</v>
      </c>
      <c r="E1215" s="4">
        <v>9</v>
      </c>
      <c r="F1215" s="8">
        <v>2.39</v>
      </c>
      <c r="G1215" s="4">
        <v>6</v>
      </c>
      <c r="H1215" s="8">
        <v>2</v>
      </c>
      <c r="I1215" s="4">
        <v>0</v>
      </c>
    </row>
    <row r="1216" spans="1:9" x14ac:dyDescent="0.2">
      <c r="A1216" s="2">
        <v>10</v>
      </c>
      <c r="B1216" s="1" t="s">
        <v>163</v>
      </c>
      <c r="C1216" s="4">
        <v>14</v>
      </c>
      <c r="D1216" s="8">
        <v>2.06</v>
      </c>
      <c r="E1216" s="4">
        <v>8</v>
      </c>
      <c r="F1216" s="8">
        <v>2.13</v>
      </c>
      <c r="G1216" s="4">
        <v>6</v>
      </c>
      <c r="H1216" s="8">
        <v>2</v>
      </c>
      <c r="I1216" s="4">
        <v>0</v>
      </c>
    </row>
    <row r="1217" spans="1:9" x14ac:dyDescent="0.2">
      <c r="A1217" s="2">
        <v>10</v>
      </c>
      <c r="B1217" s="1" t="s">
        <v>191</v>
      </c>
      <c r="C1217" s="4">
        <v>14</v>
      </c>
      <c r="D1217" s="8">
        <v>2.06</v>
      </c>
      <c r="E1217" s="4">
        <v>13</v>
      </c>
      <c r="F1217" s="8">
        <v>3.46</v>
      </c>
      <c r="G1217" s="4">
        <v>1</v>
      </c>
      <c r="H1217" s="8">
        <v>0.33</v>
      </c>
      <c r="I1217" s="4">
        <v>0</v>
      </c>
    </row>
    <row r="1218" spans="1:9" x14ac:dyDescent="0.2">
      <c r="A1218" s="2">
        <v>12</v>
      </c>
      <c r="B1218" s="1" t="s">
        <v>176</v>
      </c>
      <c r="C1218" s="4">
        <v>13</v>
      </c>
      <c r="D1218" s="8">
        <v>1.91</v>
      </c>
      <c r="E1218" s="4">
        <v>9</v>
      </c>
      <c r="F1218" s="8">
        <v>2.39</v>
      </c>
      <c r="G1218" s="4">
        <v>4</v>
      </c>
      <c r="H1218" s="8">
        <v>1.33</v>
      </c>
      <c r="I1218" s="4">
        <v>0</v>
      </c>
    </row>
    <row r="1219" spans="1:9" x14ac:dyDescent="0.2">
      <c r="A1219" s="2">
        <v>13</v>
      </c>
      <c r="B1219" s="1" t="s">
        <v>192</v>
      </c>
      <c r="C1219" s="4">
        <v>12</v>
      </c>
      <c r="D1219" s="8">
        <v>1.77</v>
      </c>
      <c r="E1219" s="4">
        <v>10</v>
      </c>
      <c r="F1219" s="8">
        <v>2.66</v>
      </c>
      <c r="G1219" s="4">
        <v>2</v>
      </c>
      <c r="H1219" s="8">
        <v>0.67</v>
      </c>
      <c r="I1219" s="4">
        <v>0</v>
      </c>
    </row>
    <row r="1220" spans="1:9" x14ac:dyDescent="0.2">
      <c r="A1220" s="2">
        <v>14</v>
      </c>
      <c r="B1220" s="1" t="s">
        <v>165</v>
      </c>
      <c r="C1220" s="4">
        <v>11</v>
      </c>
      <c r="D1220" s="8">
        <v>1.62</v>
      </c>
      <c r="E1220" s="4">
        <v>3</v>
      </c>
      <c r="F1220" s="8">
        <v>0.8</v>
      </c>
      <c r="G1220" s="4">
        <v>8</v>
      </c>
      <c r="H1220" s="8">
        <v>2.67</v>
      </c>
      <c r="I1220" s="4">
        <v>0</v>
      </c>
    </row>
    <row r="1221" spans="1:9" x14ac:dyDescent="0.2">
      <c r="A1221" s="2">
        <v>14</v>
      </c>
      <c r="B1221" s="1" t="s">
        <v>205</v>
      </c>
      <c r="C1221" s="4">
        <v>11</v>
      </c>
      <c r="D1221" s="8">
        <v>1.62</v>
      </c>
      <c r="E1221" s="4">
        <v>10</v>
      </c>
      <c r="F1221" s="8">
        <v>2.66</v>
      </c>
      <c r="G1221" s="4">
        <v>1</v>
      </c>
      <c r="H1221" s="8">
        <v>0.33</v>
      </c>
      <c r="I1221" s="4">
        <v>0</v>
      </c>
    </row>
    <row r="1222" spans="1:9" x14ac:dyDescent="0.2">
      <c r="A1222" s="2">
        <v>16</v>
      </c>
      <c r="B1222" s="1" t="s">
        <v>157</v>
      </c>
      <c r="C1222" s="4">
        <v>10</v>
      </c>
      <c r="D1222" s="8">
        <v>1.47</v>
      </c>
      <c r="E1222" s="4">
        <v>0</v>
      </c>
      <c r="F1222" s="8">
        <v>0</v>
      </c>
      <c r="G1222" s="4">
        <v>10</v>
      </c>
      <c r="H1222" s="8">
        <v>3.33</v>
      </c>
      <c r="I1222" s="4">
        <v>0</v>
      </c>
    </row>
    <row r="1223" spans="1:9" x14ac:dyDescent="0.2">
      <c r="A1223" s="2">
        <v>16</v>
      </c>
      <c r="B1223" s="1" t="s">
        <v>158</v>
      </c>
      <c r="C1223" s="4">
        <v>10</v>
      </c>
      <c r="D1223" s="8">
        <v>1.47</v>
      </c>
      <c r="E1223" s="4">
        <v>1</v>
      </c>
      <c r="F1223" s="8">
        <v>0.27</v>
      </c>
      <c r="G1223" s="4">
        <v>9</v>
      </c>
      <c r="H1223" s="8">
        <v>3</v>
      </c>
      <c r="I1223" s="4">
        <v>0</v>
      </c>
    </row>
    <row r="1224" spans="1:9" x14ac:dyDescent="0.2">
      <c r="A1224" s="2">
        <v>16</v>
      </c>
      <c r="B1224" s="1" t="s">
        <v>182</v>
      </c>
      <c r="C1224" s="4">
        <v>10</v>
      </c>
      <c r="D1224" s="8">
        <v>1.47</v>
      </c>
      <c r="E1224" s="4">
        <v>5</v>
      </c>
      <c r="F1224" s="8">
        <v>1.33</v>
      </c>
      <c r="G1224" s="4">
        <v>5</v>
      </c>
      <c r="H1224" s="8">
        <v>1.67</v>
      </c>
      <c r="I1224" s="4">
        <v>0</v>
      </c>
    </row>
    <row r="1225" spans="1:9" x14ac:dyDescent="0.2">
      <c r="A1225" s="2">
        <v>16</v>
      </c>
      <c r="B1225" s="1" t="s">
        <v>200</v>
      </c>
      <c r="C1225" s="4">
        <v>10</v>
      </c>
      <c r="D1225" s="8">
        <v>1.47</v>
      </c>
      <c r="E1225" s="4">
        <v>2</v>
      </c>
      <c r="F1225" s="8">
        <v>0.53</v>
      </c>
      <c r="G1225" s="4">
        <v>8</v>
      </c>
      <c r="H1225" s="8">
        <v>2.67</v>
      </c>
      <c r="I1225" s="4">
        <v>0</v>
      </c>
    </row>
    <row r="1226" spans="1:9" x14ac:dyDescent="0.2">
      <c r="A1226" s="2">
        <v>20</v>
      </c>
      <c r="B1226" s="1" t="s">
        <v>159</v>
      </c>
      <c r="C1226" s="4">
        <v>9</v>
      </c>
      <c r="D1226" s="8">
        <v>1.33</v>
      </c>
      <c r="E1226" s="4">
        <v>5</v>
      </c>
      <c r="F1226" s="8">
        <v>1.33</v>
      </c>
      <c r="G1226" s="4">
        <v>4</v>
      </c>
      <c r="H1226" s="8">
        <v>1.33</v>
      </c>
      <c r="I1226" s="4">
        <v>0</v>
      </c>
    </row>
    <row r="1227" spans="1:9" x14ac:dyDescent="0.2">
      <c r="A1227" s="2">
        <v>20</v>
      </c>
      <c r="B1227" s="1" t="s">
        <v>181</v>
      </c>
      <c r="C1227" s="4">
        <v>9</v>
      </c>
      <c r="D1227" s="8">
        <v>1.33</v>
      </c>
      <c r="E1227" s="4">
        <v>7</v>
      </c>
      <c r="F1227" s="8">
        <v>1.86</v>
      </c>
      <c r="G1227" s="4">
        <v>2</v>
      </c>
      <c r="H1227" s="8">
        <v>0.67</v>
      </c>
      <c r="I1227" s="4">
        <v>0</v>
      </c>
    </row>
    <row r="1228" spans="1:9" x14ac:dyDescent="0.2">
      <c r="A1228" s="2">
        <v>20</v>
      </c>
      <c r="B1228" s="1" t="s">
        <v>161</v>
      </c>
      <c r="C1228" s="4">
        <v>9</v>
      </c>
      <c r="D1228" s="8">
        <v>1.33</v>
      </c>
      <c r="E1228" s="4">
        <v>0</v>
      </c>
      <c r="F1228" s="8">
        <v>0</v>
      </c>
      <c r="G1228" s="4">
        <v>9</v>
      </c>
      <c r="H1228" s="8">
        <v>3</v>
      </c>
      <c r="I1228" s="4">
        <v>0</v>
      </c>
    </row>
    <row r="1229" spans="1:9" x14ac:dyDescent="0.2">
      <c r="A1229" s="1"/>
      <c r="C1229" s="4"/>
      <c r="D1229" s="8"/>
      <c r="E1229" s="4"/>
      <c r="F1229" s="8"/>
      <c r="G1229" s="4"/>
      <c r="H1229" s="8"/>
      <c r="I1229" s="4"/>
    </row>
    <row r="1230" spans="1:9" x14ac:dyDescent="0.2">
      <c r="A1230" s="1" t="s">
        <v>54</v>
      </c>
      <c r="C1230" s="4"/>
      <c r="D1230" s="8"/>
      <c r="E1230" s="4"/>
      <c r="F1230" s="8"/>
      <c r="G1230" s="4"/>
      <c r="H1230" s="8"/>
      <c r="I1230" s="4"/>
    </row>
    <row r="1231" spans="1:9" x14ac:dyDescent="0.2">
      <c r="A1231" s="2">
        <v>1</v>
      </c>
      <c r="B1231" s="1" t="s">
        <v>223</v>
      </c>
      <c r="C1231" s="4">
        <v>16</v>
      </c>
      <c r="D1231" s="8">
        <v>5.3</v>
      </c>
      <c r="E1231" s="4">
        <v>9</v>
      </c>
      <c r="F1231" s="8">
        <v>5.17</v>
      </c>
      <c r="G1231" s="4">
        <v>7</v>
      </c>
      <c r="H1231" s="8">
        <v>5.6</v>
      </c>
      <c r="I1231" s="4">
        <v>0</v>
      </c>
    </row>
    <row r="1232" spans="1:9" x14ac:dyDescent="0.2">
      <c r="A1232" s="2">
        <v>2</v>
      </c>
      <c r="B1232" s="1" t="s">
        <v>206</v>
      </c>
      <c r="C1232" s="4">
        <v>13</v>
      </c>
      <c r="D1232" s="8">
        <v>4.3</v>
      </c>
      <c r="E1232" s="4">
        <v>11</v>
      </c>
      <c r="F1232" s="8">
        <v>6.32</v>
      </c>
      <c r="G1232" s="4">
        <v>2</v>
      </c>
      <c r="H1232" s="8">
        <v>1.6</v>
      </c>
      <c r="I1232" s="4">
        <v>0</v>
      </c>
    </row>
    <row r="1233" spans="1:9" x14ac:dyDescent="0.2">
      <c r="A1233" s="2">
        <v>2</v>
      </c>
      <c r="B1233" s="1" t="s">
        <v>174</v>
      </c>
      <c r="C1233" s="4">
        <v>13</v>
      </c>
      <c r="D1233" s="8">
        <v>4.3</v>
      </c>
      <c r="E1233" s="4">
        <v>13</v>
      </c>
      <c r="F1233" s="8">
        <v>7.47</v>
      </c>
      <c r="G1233" s="4">
        <v>0</v>
      </c>
      <c r="H1233" s="8">
        <v>0</v>
      </c>
      <c r="I1233" s="4">
        <v>0</v>
      </c>
    </row>
    <row r="1234" spans="1:9" x14ac:dyDescent="0.2">
      <c r="A1234" s="2">
        <v>4</v>
      </c>
      <c r="B1234" s="1" t="s">
        <v>157</v>
      </c>
      <c r="C1234" s="4">
        <v>12</v>
      </c>
      <c r="D1234" s="8">
        <v>3.97</v>
      </c>
      <c r="E1234" s="4">
        <v>2</v>
      </c>
      <c r="F1234" s="8">
        <v>1.1499999999999999</v>
      </c>
      <c r="G1234" s="4">
        <v>10</v>
      </c>
      <c r="H1234" s="8">
        <v>8</v>
      </c>
      <c r="I1234" s="4">
        <v>0</v>
      </c>
    </row>
    <row r="1235" spans="1:9" x14ac:dyDescent="0.2">
      <c r="A1235" s="2">
        <v>5</v>
      </c>
      <c r="B1235" s="1" t="s">
        <v>159</v>
      </c>
      <c r="C1235" s="4">
        <v>10</v>
      </c>
      <c r="D1235" s="8">
        <v>3.31</v>
      </c>
      <c r="E1235" s="4">
        <v>5</v>
      </c>
      <c r="F1235" s="8">
        <v>2.87</v>
      </c>
      <c r="G1235" s="4">
        <v>5</v>
      </c>
      <c r="H1235" s="8">
        <v>4</v>
      </c>
      <c r="I1235" s="4">
        <v>0</v>
      </c>
    </row>
    <row r="1236" spans="1:9" x14ac:dyDescent="0.2">
      <c r="A1236" s="2">
        <v>6</v>
      </c>
      <c r="B1236" s="1" t="s">
        <v>192</v>
      </c>
      <c r="C1236" s="4">
        <v>9</v>
      </c>
      <c r="D1236" s="8">
        <v>2.98</v>
      </c>
      <c r="E1236" s="4">
        <v>7</v>
      </c>
      <c r="F1236" s="8">
        <v>4.0199999999999996</v>
      </c>
      <c r="G1236" s="4">
        <v>2</v>
      </c>
      <c r="H1236" s="8">
        <v>1.6</v>
      </c>
      <c r="I1236" s="4">
        <v>0</v>
      </c>
    </row>
    <row r="1237" spans="1:9" x14ac:dyDescent="0.2">
      <c r="A1237" s="2">
        <v>6</v>
      </c>
      <c r="B1237" s="1" t="s">
        <v>175</v>
      </c>
      <c r="C1237" s="4">
        <v>9</v>
      </c>
      <c r="D1237" s="8">
        <v>2.98</v>
      </c>
      <c r="E1237" s="4">
        <v>6</v>
      </c>
      <c r="F1237" s="8">
        <v>3.45</v>
      </c>
      <c r="G1237" s="4">
        <v>3</v>
      </c>
      <c r="H1237" s="8">
        <v>2.4</v>
      </c>
      <c r="I1237" s="4">
        <v>0</v>
      </c>
    </row>
    <row r="1238" spans="1:9" x14ac:dyDescent="0.2">
      <c r="A1238" s="2">
        <v>8</v>
      </c>
      <c r="B1238" s="1" t="s">
        <v>158</v>
      </c>
      <c r="C1238" s="4">
        <v>7</v>
      </c>
      <c r="D1238" s="8">
        <v>2.3199999999999998</v>
      </c>
      <c r="E1238" s="4">
        <v>2</v>
      </c>
      <c r="F1238" s="8">
        <v>1.1499999999999999</v>
      </c>
      <c r="G1238" s="4">
        <v>5</v>
      </c>
      <c r="H1238" s="8">
        <v>4</v>
      </c>
      <c r="I1238" s="4">
        <v>0</v>
      </c>
    </row>
    <row r="1239" spans="1:9" x14ac:dyDescent="0.2">
      <c r="A1239" s="2">
        <v>8</v>
      </c>
      <c r="B1239" s="1" t="s">
        <v>207</v>
      </c>
      <c r="C1239" s="4">
        <v>7</v>
      </c>
      <c r="D1239" s="8">
        <v>2.3199999999999998</v>
      </c>
      <c r="E1239" s="4">
        <v>4</v>
      </c>
      <c r="F1239" s="8">
        <v>2.2999999999999998</v>
      </c>
      <c r="G1239" s="4">
        <v>3</v>
      </c>
      <c r="H1239" s="8">
        <v>2.4</v>
      </c>
      <c r="I1239" s="4">
        <v>0</v>
      </c>
    </row>
    <row r="1240" spans="1:9" x14ac:dyDescent="0.2">
      <c r="A1240" s="2">
        <v>8</v>
      </c>
      <c r="B1240" s="1" t="s">
        <v>173</v>
      </c>
      <c r="C1240" s="4">
        <v>7</v>
      </c>
      <c r="D1240" s="8">
        <v>2.3199999999999998</v>
      </c>
      <c r="E1240" s="4">
        <v>7</v>
      </c>
      <c r="F1240" s="8">
        <v>4.0199999999999996</v>
      </c>
      <c r="G1240" s="4">
        <v>0</v>
      </c>
      <c r="H1240" s="8">
        <v>0</v>
      </c>
      <c r="I1240" s="4">
        <v>0</v>
      </c>
    </row>
    <row r="1241" spans="1:9" x14ac:dyDescent="0.2">
      <c r="A1241" s="2">
        <v>8</v>
      </c>
      <c r="B1241" s="1" t="s">
        <v>176</v>
      </c>
      <c r="C1241" s="4">
        <v>7</v>
      </c>
      <c r="D1241" s="8">
        <v>2.3199999999999998</v>
      </c>
      <c r="E1241" s="4">
        <v>6</v>
      </c>
      <c r="F1241" s="8">
        <v>3.45</v>
      </c>
      <c r="G1241" s="4">
        <v>1</v>
      </c>
      <c r="H1241" s="8">
        <v>0.8</v>
      </c>
      <c r="I1241" s="4">
        <v>0</v>
      </c>
    </row>
    <row r="1242" spans="1:9" x14ac:dyDescent="0.2">
      <c r="A1242" s="2">
        <v>12</v>
      </c>
      <c r="B1242" s="1" t="s">
        <v>160</v>
      </c>
      <c r="C1242" s="4">
        <v>6</v>
      </c>
      <c r="D1242" s="8">
        <v>1.99</v>
      </c>
      <c r="E1242" s="4">
        <v>2</v>
      </c>
      <c r="F1242" s="8">
        <v>1.1499999999999999</v>
      </c>
      <c r="G1242" s="4">
        <v>4</v>
      </c>
      <c r="H1242" s="8">
        <v>3.2</v>
      </c>
      <c r="I1242" s="4">
        <v>0</v>
      </c>
    </row>
    <row r="1243" spans="1:9" x14ac:dyDescent="0.2">
      <c r="A1243" s="2">
        <v>12</v>
      </c>
      <c r="B1243" s="1" t="s">
        <v>179</v>
      </c>
      <c r="C1243" s="4">
        <v>6</v>
      </c>
      <c r="D1243" s="8">
        <v>1.99</v>
      </c>
      <c r="E1243" s="4">
        <v>6</v>
      </c>
      <c r="F1243" s="8">
        <v>3.45</v>
      </c>
      <c r="G1243" s="4">
        <v>0</v>
      </c>
      <c r="H1243" s="8">
        <v>0</v>
      </c>
      <c r="I1243" s="4">
        <v>0</v>
      </c>
    </row>
    <row r="1244" spans="1:9" x14ac:dyDescent="0.2">
      <c r="A1244" s="2">
        <v>14</v>
      </c>
      <c r="B1244" s="1" t="s">
        <v>216</v>
      </c>
      <c r="C1244" s="4">
        <v>5</v>
      </c>
      <c r="D1244" s="8">
        <v>1.66</v>
      </c>
      <c r="E1244" s="4">
        <v>1</v>
      </c>
      <c r="F1244" s="8">
        <v>0.56999999999999995</v>
      </c>
      <c r="G1244" s="4">
        <v>4</v>
      </c>
      <c r="H1244" s="8">
        <v>3.2</v>
      </c>
      <c r="I1244" s="4">
        <v>0</v>
      </c>
    </row>
    <row r="1245" spans="1:9" x14ac:dyDescent="0.2">
      <c r="A1245" s="2">
        <v>14</v>
      </c>
      <c r="B1245" s="1" t="s">
        <v>197</v>
      </c>
      <c r="C1245" s="4">
        <v>5</v>
      </c>
      <c r="D1245" s="8">
        <v>1.66</v>
      </c>
      <c r="E1245" s="4">
        <v>4</v>
      </c>
      <c r="F1245" s="8">
        <v>2.2999999999999998</v>
      </c>
      <c r="G1245" s="4">
        <v>1</v>
      </c>
      <c r="H1245" s="8">
        <v>0.8</v>
      </c>
      <c r="I1245" s="4">
        <v>0</v>
      </c>
    </row>
    <row r="1246" spans="1:9" x14ac:dyDescent="0.2">
      <c r="A1246" s="2">
        <v>14</v>
      </c>
      <c r="B1246" s="1" t="s">
        <v>200</v>
      </c>
      <c r="C1246" s="4">
        <v>5</v>
      </c>
      <c r="D1246" s="8">
        <v>1.66</v>
      </c>
      <c r="E1246" s="4">
        <v>2</v>
      </c>
      <c r="F1246" s="8">
        <v>1.1499999999999999</v>
      </c>
      <c r="G1246" s="4">
        <v>3</v>
      </c>
      <c r="H1246" s="8">
        <v>2.4</v>
      </c>
      <c r="I1246" s="4">
        <v>0</v>
      </c>
    </row>
    <row r="1247" spans="1:9" x14ac:dyDescent="0.2">
      <c r="A1247" s="2">
        <v>14</v>
      </c>
      <c r="B1247" s="1" t="s">
        <v>224</v>
      </c>
      <c r="C1247" s="4">
        <v>5</v>
      </c>
      <c r="D1247" s="8">
        <v>1.66</v>
      </c>
      <c r="E1247" s="4">
        <v>4</v>
      </c>
      <c r="F1247" s="8">
        <v>2.2999999999999998</v>
      </c>
      <c r="G1247" s="4">
        <v>1</v>
      </c>
      <c r="H1247" s="8">
        <v>0.8</v>
      </c>
      <c r="I1247" s="4">
        <v>0</v>
      </c>
    </row>
    <row r="1248" spans="1:9" x14ac:dyDescent="0.2">
      <c r="A1248" s="2">
        <v>14</v>
      </c>
      <c r="B1248" s="1" t="s">
        <v>225</v>
      </c>
      <c r="C1248" s="4">
        <v>5</v>
      </c>
      <c r="D1248" s="8">
        <v>1.66</v>
      </c>
      <c r="E1248" s="4">
        <v>5</v>
      </c>
      <c r="F1248" s="8">
        <v>2.87</v>
      </c>
      <c r="G1248" s="4">
        <v>0</v>
      </c>
      <c r="H1248" s="8">
        <v>0</v>
      </c>
      <c r="I1248" s="4">
        <v>0</v>
      </c>
    </row>
    <row r="1249" spans="1:9" x14ac:dyDescent="0.2">
      <c r="A1249" s="2">
        <v>14</v>
      </c>
      <c r="B1249" s="1" t="s">
        <v>172</v>
      </c>
      <c r="C1249" s="4">
        <v>5</v>
      </c>
      <c r="D1249" s="8">
        <v>1.66</v>
      </c>
      <c r="E1249" s="4">
        <v>4</v>
      </c>
      <c r="F1249" s="8">
        <v>2.2999999999999998</v>
      </c>
      <c r="G1249" s="4">
        <v>1</v>
      </c>
      <c r="H1249" s="8">
        <v>0.8</v>
      </c>
      <c r="I1249" s="4">
        <v>0</v>
      </c>
    </row>
    <row r="1250" spans="1:9" x14ac:dyDescent="0.2">
      <c r="A1250" s="2">
        <v>20</v>
      </c>
      <c r="B1250" s="1" t="s">
        <v>180</v>
      </c>
      <c r="C1250" s="4">
        <v>4</v>
      </c>
      <c r="D1250" s="8">
        <v>1.32</v>
      </c>
      <c r="E1250" s="4">
        <v>2</v>
      </c>
      <c r="F1250" s="8">
        <v>1.1499999999999999</v>
      </c>
      <c r="G1250" s="4">
        <v>2</v>
      </c>
      <c r="H1250" s="8">
        <v>1.6</v>
      </c>
      <c r="I1250" s="4">
        <v>0</v>
      </c>
    </row>
    <row r="1251" spans="1:9" x14ac:dyDescent="0.2">
      <c r="A1251" s="2">
        <v>20</v>
      </c>
      <c r="B1251" s="1" t="s">
        <v>204</v>
      </c>
      <c r="C1251" s="4">
        <v>4</v>
      </c>
      <c r="D1251" s="8">
        <v>1.32</v>
      </c>
      <c r="E1251" s="4">
        <v>2</v>
      </c>
      <c r="F1251" s="8">
        <v>1.1499999999999999</v>
      </c>
      <c r="G1251" s="4">
        <v>2</v>
      </c>
      <c r="H1251" s="8">
        <v>1.6</v>
      </c>
      <c r="I1251" s="4">
        <v>0</v>
      </c>
    </row>
    <row r="1252" spans="1:9" x14ac:dyDescent="0.2">
      <c r="A1252" s="2">
        <v>20</v>
      </c>
      <c r="B1252" s="1" t="s">
        <v>226</v>
      </c>
      <c r="C1252" s="4">
        <v>4</v>
      </c>
      <c r="D1252" s="8">
        <v>1.32</v>
      </c>
      <c r="E1252" s="4">
        <v>4</v>
      </c>
      <c r="F1252" s="8">
        <v>2.2999999999999998</v>
      </c>
      <c r="G1252" s="4">
        <v>0</v>
      </c>
      <c r="H1252" s="8">
        <v>0</v>
      </c>
      <c r="I1252" s="4">
        <v>0</v>
      </c>
    </row>
    <row r="1253" spans="1:9" x14ac:dyDescent="0.2">
      <c r="A1253" s="1"/>
      <c r="C1253" s="4"/>
      <c r="D1253" s="8"/>
      <c r="E1253" s="4"/>
      <c r="F1253" s="8"/>
      <c r="G1253" s="4"/>
      <c r="H1253" s="8"/>
      <c r="I1253" s="4"/>
    </row>
    <row r="1254" spans="1:9" x14ac:dyDescent="0.2">
      <c r="A1254" s="1" t="s">
        <v>55</v>
      </c>
      <c r="C1254" s="4"/>
      <c r="D1254" s="8"/>
      <c r="E1254" s="4"/>
      <c r="F1254" s="8"/>
      <c r="G1254" s="4"/>
      <c r="H1254" s="8"/>
      <c r="I1254" s="4"/>
    </row>
    <row r="1255" spans="1:9" x14ac:dyDescent="0.2">
      <c r="A1255" s="2">
        <v>1</v>
      </c>
      <c r="B1255" s="1" t="s">
        <v>173</v>
      </c>
      <c r="C1255" s="4">
        <v>25</v>
      </c>
      <c r="D1255" s="8">
        <v>8.56</v>
      </c>
      <c r="E1255" s="4">
        <v>25</v>
      </c>
      <c r="F1255" s="8">
        <v>15.06</v>
      </c>
      <c r="G1255" s="4">
        <v>0</v>
      </c>
      <c r="H1255" s="8">
        <v>0</v>
      </c>
      <c r="I1255" s="4">
        <v>0</v>
      </c>
    </row>
    <row r="1256" spans="1:9" x14ac:dyDescent="0.2">
      <c r="A1256" s="2">
        <v>2</v>
      </c>
      <c r="B1256" s="1" t="s">
        <v>163</v>
      </c>
      <c r="C1256" s="4">
        <v>13</v>
      </c>
      <c r="D1256" s="8">
        <v>4.45</v>
      </c>
      <c r="E1256" s="4">
        <v>12</v>
      </c>
      <c r="F1256" s="8">
        <v>7.23</v>
      </c>
      <c r="G1256" s="4">
        <v>1</v>
      </c>
      <c r="H1256" s="8">
        <v>0.8</v>
      </c>
      <c r="I1256" s="4">
        <v>0</v>
      </c>
    </row>
    <row r="1257" spans="1:9" x14ac:dyDescent="0.2">
      <c r="A1257" s="2">
        <v>2</v>
      </c>
      <c r="B1257" s="1" t="s">
        <v>170</v>
      </c>
      <c r="C1257" s="4">
        <v>13</v>
      </c>
      <c r="D1257" s="8">
        <v>4.45</v>
      </c>
      <c r="E1257" s="4">
        <v>13</v>
      </c>
      <c r="F1257" s="8">
        <v>7.83</v>
      </c>
      <c r="G1257" s="4">
        <v>0</v>
      </c>
      <c r="H1257" s="8">
        <v>0</v>
      </c>
      <c r="I1257" s="4">
        <v>0</v>
      </c>
    </row>
    <row r="1258" spans="1:9" x14ac:dyDescent="0.2">
      <c r="A1258" s="2">
        <v>4</v>
      </c>
      <c r="B1258" s="1" t="s">
        <v>172</v>
      </c>
      <c r="C1258" s="4">
        <v>12</v>
      </c>
      <c r="D1258" s="8">
        <v>4.1100000000000003</v>
      </c>
      <c r="E1258" s="4">
        <v>11</v>
      </c>
      <c r="F1258" s="8">
        <v>6.63</v>
      </c>
      <c r="G1258" s="4">
        <v>1</v>
      </c>
      <c r="H1258" s="8">
        <v>0.8</v>
      </c>
      <c r="I1258" s="4">
        <v>0</v>
      </c>
    </row>
    <row r="1259" spans="1:9" x14ac:dyDescent="0.2">
      <c r="A1259" s="2">
        <v>5</v>
      </c>
      <c r="B1259" s="1" t="s">
        <v>160</v>
      </c>
      <c r="C1259" s="4">
        <v>10</v>
      </c>
      <c r="D1259" s="8">
        <v>3.42</v>
      </c>
      <c r="E1259" s="4">
        <v>4</v>
      </c>
      <c r="F1259" s="8">
        <v>2.41</v>
      </c>
      <c r="G1259" s="4">
        <v>6</v>
      </c>
      <c r="H1259" s="8">
        <v>4.8</v>
      </c>
      <c r="I1259" s="4">
        <v>0</v>
      </c>
    </row>
    <row r="1260" spans="1:9" x14ac:dyDescent="0.2">
      <c r="A1260" s="2">
        <v>5</v>
      </c>
      <c r="B1260" s="1" t="s">
        <v>175</v>
      </c>
      <c r="C1260" s="4">
        <v>10</v>
      </c>
      <c r="D1260" s="8">
        <v>3.42</v>
      </c>
      <c r="E1260" s="4">
        <v>9</v>
      </c>
      <c r="F1260" s="8">
        <v>5.42</v>
      </c>
      <c r="G1260" s="4">
        <v>1</v>
      </c>
      <c r="H1260" s="8">
        <v>0.8</v>
      </c>
      <c r="I1260" s="4">
        <v>0</v>
      </c>
    </row>
    <row r="1261" spans="1:9" x14ac:dyDescent="0.2">
      <c r="A1261" s="2">
        <v>7</v>
      </c>
      <c r="B1261" s="1" t="s">
        <v>157</v>
      </c>
      <c r="C1261" s="4">
        <v>8</v>
      </c>
      <c r="D1261" s="8">
        <v>2.74</v>
      </c>
      <c r="E1261" s="4">
        <v>0</v>
      </c>
      <c r="F1261" s="8">
        <v>0</v>
      </c>
      <c r="G1261" s="4">
        <v>8</v>
      </c>
      <c r="H1261" s="8">
        <v>6.4</v>
      </c>
      <c r="I1261" s="4">
        <v>0</v>
      </c>
    </row>
    <row r="1262" spans="1:9" x14ac:dyDescent="0.2">
      <c r="A1262" s="2">
        <v>7</v>
      </c>
      <c r="B1262" s="1" t="s">
        <v>158</v>
      </c>
      <c r="C1262" s="4">
        <v>8</v>
      </c>
      <c r="D1262" s="8">
        <v>2.74</v>
      </c>
      <c r="E1262" s="4">
        <v>1</v>
      </c>
      <c r="F1262" s="8">
        <v>0.6</v>
      </c>
      <c r="G1262" s="4">
        <v>7</v>
      </c>
      <c r="H1262" s="8">
        <v>5.6</v>
      </c>
      <c r="I1262" s="4">
        <v>0</v>
      </c>
    </row>
    <row r="1263" spans="1:9" x14ac:dyDescent="0.2">
      <c r="A1263" s="2">
        <v>7</v>
      </c>
      <c r="B1263" s="1" t="s">
        <v>159</v>
      </c>
      <c r="C1263" s="4">
        <v>8</v>
      </c>
      <c r="D1263" s="8">
        <v>2.74</v>
      </c>
      <c r="E1263" s="4">
        <v>3</v>
      </c>
      <c r="F1263" s="8">
        <v>1.81</v>
      </c>
      <c r="G1263" s="4">
        <v>5</v>
      </c>
      <c r="H1263" s="8">
        <v>4</v>
      </c>
      <c r="I1263" s="4">
        <v>0</v>
      </c>
    </row>
    <row r="1264" spans="1:9" x14ac:dyDescent="0.2">
      <c r="A1264" s="2">
        <v>7</v>
      </c>
      <c r="B1264" s="1" t="s">
        <v>189</v>
      </c>
      <c r="C1264" s="4">
        <v>8</v>
      </c>
      <c r="D1264" s="8">
        <v>2.74</v>
      </c>
      <c r="E1264" s="4">
        <v>7</v>
      </c>
      <c r="F1264" s="8">
        <v>4.22</v>
      </c>
      <c r="G1264" s="4">
        <v>1</v>
      </c>
      <c r="H1264" s="8">
        <v>0.8</v>
      </c>
      <c r="I1264" s="4">
        <v>0</v>
      </c>
    </row>
    <row r="1265" spans="1:9" x14ac:dyDescent="0.2">
      <c r="A1265" s="2">
        <v>7</v>
      </c>
      <c r="B1265" s="1" t="s">
        <v>169</v>
      </c>
      <c r="C1265" s="4">
        <v>8</v>
      </c>
      <c r="D1265" s="8">
        <v>2.74</v>
      </c>
      <c r="E1265" s="4">
        <v>5</v>
      </c>
      <c r="F1265" s="8">
        <v>3.01</v>
      </c>
      <c r="G1265" s="4">
        <v>3</v>
      </c>
      <c r="H1265" s="8">
        <v>2.4</v>
      </c>
      <c r="I1265" s="4">
        <v>0</v>
      </c>
    </row>
    <row r="1266" spans="1:9" x14ac:dyDescent="0.2">
      <c r="A1266" s="2">
        <v>12</v>
      </c>
      <c r="B1266" s="1" t="s">
        <v>161</v>
      </c>
      <c r="C1266" s="4">
        <v>7</v>
      </c>
      <c r="D1266" s="8">
        <v>2.4</v>
      </c>
      <c r="E1266" s="4">
        <v>5</v>
      </c>
      <c r="F1266" s="8">
        <v>3.01</v>
      </c>
      <c r="G1266" s="4">
        <v>2</v>
      </c>
      <c r="H1266" s="8">
        <v>1.6</v>
      </c>
      <c r="I1266" s="4">
        <v>0</v>
      </c>
    </row>
    <row r="1267" spans="1:9" x14ac:dyDescent="0.2">
      <c r="A1267" s="2">
        <v>12</v>
      </c>
      <c r="B1267" s="1" t="s">
        <v>167</v>
      </c>
      <c r="C1267" s="4">
        <v>7</v>
      </c>
      <c r="D1267" s="8">
        <v>2.4</v>
      </c>
      <c r="E1267" s="4">
        <v>2</v>
      </c>
      <c r="F1267" s="8">
        <v>1.2</v>
      </c>
      <c r="G1267" s="4">
        <v>5</v>
      </c>
      <c r="H1267" s="8">
        <v>4</v>
      </c>
      <c r="I1267" s="4">
        <v>0</v>
      </c>
    </row>
    <row r="1268" spans="1:9" x14ac:dyDescent="0.2">
      <c r="A1268" s="2">
        <v>14</v>
      </c>
      <c r="B1268" s="1" t="s">
        <v>181</v>
      </c>
      <c r="C1268" s="4">
        <v>5</v>
      </c>
      <c r="D1268" s="8">
        <v>1.71</v>
      </c>
      <c r="E1268" s="4">
        <v>4</v>
      </c>
      <c r="F1268" s="8">
        <v>2.41</v>
      </c>
      <c r="G1268" s="4">
        <v>1</v>
      </c>
      <c r="H1268" s="8">
        <v>0.8</v>
      </c>
      <c r="I1268" s="4">
        <v>0</v>
      </c>
    </row>
    <row r="1269" spans="1:9" x14ac:dyDescent="0.2">
      <c r="A1269" s="2">
        <v>14</v>
      </c>
      <c r="B1269" s="1" t="s">
        <v>217</v>
      </c>
      <c r="C1269" s="4">
        <v>5</v>
      </c>
      <c r="D1269" s="8">
        <v>1.71</v>
      </c>
      <c r="E1269" s="4">
        <v>0</v>
      </c>
      <c r="F1269" s="8">
        <v>0</v>
      </c>
      <c r="G1269" s="4">
        <v>5</v>
      </c>
      <c r="H1269" s="8">
        <v>4</v>
      </c>
      <c r="I1269" s="4">
        <v>0</v>
      </c>
    </row>
    <row r="1270" spans="1:9" x14ac:dyDescent="0.2">
      <c r="A1270" s="2">
        <v>14</v>
      </c>
      <c r="B1270" s="1" t="s">
        <v>178</v>
      </c>
      <c r="C1270" s="4">
        <v>5</v>
      </c>
      <c r="D1270" s="8">
        <v>1.71</v>
      </c>
      <c r="E1270" s="4">
        <v>1</v>
      </c>
      <c r="F1270" s="8">
        <v>0.6</v>
      </c>
      <c r="G1270" s="4">
        <v>4</v>
      </c>
      <c r="H1270" s="8">
        <v>3.2</v>
      </c>
      <c r="I1270" s="4">
        <v>0</v>
      </c>
    </row>
    <row r="1271" spans="1:9" x14ac:dyDescent="0.2">
      <c r="A1271" s="2">
        <v>17</v>
      </c>
      <c r="B1271" s="1" t="s">
        <v>227</v>
      </c>
      <c r="C1271" s="4">
        <v>4</v>
      </c>
      <c r="D1271" s="8">
        <v>1.37</v>
      </c>
      <c r="E1271" s="4">
        <v>3</v>
      </c>
      <c r="F1271" s="8">
        <v>1.81</v>
      </c>
      <c r="G1271" s="4">
        <v>1</v>
      </c>
      <c r="H1271" s="8">
        <v>0.8</v>
      </c>
      <c r="I1271" s="4">
        <v>0</v>
      </c>
    </row>
    <row r="1272" spans="1:9" x14ac:dyDescent="0.2">
      <c r="A1272" s="2">
        <v>17</v>
      </c>
      <c r="B1272" s="1" t="s">
        <v>205</v>
      </c>
      <c r="C1272" s="4">
        <v>4</v>
      </c>
      <c r="D1272" s="8">
        <v>1.37</v>
      </c>
      <c r="E1272" s="4">
        <v>3</v>
      </c>
      <c r="F1272" s="8">
        <v>1.81</v>
      </c>
      <c r="G1272" s="4">
        <v>1</v>
      </c>
      <c r="H1272" s="8">
        <v>0.8</v>
      </c>
      <c r="I1272" s="4">
        <v>0</v>
      </c>
    </row>
    <row r="1273" spans="1:9" x14ac:dyDescent="0.2">
      <c r="A1273" s="2">
        <v>17</v>
      </c>
      <c r="B1273" s="1" t="s">
        <v>206</v>
      </c>
      <c r="C1273" s="4">
        <v>4</v>
      </c>
      <c r="D1273" s="8">
        <v>1.37</v>
      </c>
      <c r="E1273" s="4">
        <v>3</v>
      </c>
      <c r="F1273" s="8">
        <v>1.81</v>
      </c>
      <c r="G1273" s="4">
        <v>1</v>
      </c>
      <c r="H1273" s="8">
        <v>0.8</v>
      </c>
      <c r="I1273" s="4">
        <v>0</v>
      </c>
    </row>
    <row r="1274" spans="1:9" x14ac:dyDescent="0.2">
      <c r="A1274" s="2">
        <v>17</v>
      </c>
      <c r="B1274" s="1" t="s">
        <v>171</v>
      </c>
      <c r="C1274" s="4">
        <v>4</v>
      </c>
      <c r="D1274" s="8">
        <v>1.37</v>
      </c>
      <c r="E1274" s="4">
        <v>2</v>
      </c>
      <c r="F1274" s="8">
        <v>1.2</v>
      </c>
      <c r="G1274" s="4">
        <v>2</v>
      </c>
      <c r="H1274" s="8">
        <v>1.6</v>
      </c>
      <c r="I1274" s="4">
        <v>0</v>
      </c>
    </row>
    <row r="1275" spans="1:9" x14ac:dyDescent="0.2">
      <c r="A1275" s="1"/>
      <c r="C1275" s="4"/>
      <c r="D1275" s="8"/>
      <c r="E1275" s="4"/>
      <c r="F1275" s="8"/>
      <c r="G1275" s="4"/>
      <c r="H1275" s="8"/>
      <c r="I1275" s="4"/>
    </row>
    <row r="1276" spans="1:9" x14ac:dyDescent="0.2">
      <c r="A1276" s="1" t="s">
        <v>56</v>
      </c>
      <c r="C1276" s="4"/>
      <c r="D1276" s="8"/>
      <c r="E1276" s="4"/>
      <c r="F1276" s="8"/>
      <c r="G1276" s="4"/>
      <c r="H1276" s="8"/>
      <c r="I1276" s="4"/>
    </row>
    <row r="1277" spans="1:9" x14ac:dyDescent="0.2">
      <c r="A1277" s="2">
        <v>1</v>
      </c>
      <c r="B1277" s="1" t="s">
        <v>167</v>
      </c>
      <c r="C1277" s="4">
        <v>30</v>
      </c>
      <c r="D1277" s="8">
        <v>6.98</v>
      </c>
      <c r="E1277" s="4">
        <v>27</v>
      </c>
      <c r="F1277" s="8">
        <v>10.8</v>
      </c>
      <c r="G1277" s="4">
        <v>3</v>
      </c>
      <c r="H1277" s="8">
        <v>1.73</v>
      </c>
      <c r="I1277" s="4">
        <v>0</v>
      </c>
    </row>
    <row r="1278" spans="1:9" x14ac:dyDescent="0.2">
      <c r="A1278" s="2">
        <v>2</v>
      </c>
      <c r="B1278" s="1" t="s">
        <v>159</v>
      </c>
      <c r="C1278" s="4">
        <v>22</v>
      </c>
      <c r="D1278" s="8">
        <v>5.12</v>
      </c>
      <c r="E1278" s="4">
        <v>14</v>
      </c>
      <c r="F1278" s="8">
        <v>5.6</v>
      </c>
      <c r="G1278" s="4">
        <v>8</v>
      </c>
      <c r="H1278" s="8">
        <v>4.62</v>
      </c>
      <c r="I1278" s="4">
        <v>0</v>
      </c>
    </row>
    <row r="1279" spans="1:9" x14ac:dyDescent="0.2">
      <c r="A1279" s="2">
        <v>3</v>
      </c>
      <c r="B1279" s="1" t="s">
        <v>170</v>
      </c>
      <c r="C1279" s="4">
        <v>20</v>
      </c>
      <c r="D1279" s="8">
        <v>4.6500000000000004</v>
      </c>
      <c r="E1279" s="4">
        <v>20</v>
      </c>
      <c r="F1279" s="8">
        <v>8</v>
      </c>
      <c r="G1279" s="4">
        <v>0</v>
      </c>
      <c r="H1279" s="8">
        <v>0</v>
      </c>
      <c r="I1279" s="4">
        <v>0</v>
      </c>
    </row>
    <row r="1280" spans="1:9" x14ac:dyDescent="0.2">
      <c r="A1280" s="2">
        <v>3</v>
      </c>
      <c r="B1280" s="1" t="s">
        <v>173</v>
      </c>
      <c r="C1280" s="4">
        <v>20</v>
      </c>
      <c r="D1280" s="8">
        <v>4.6500000000000004</v>
      </c>
      <c r="E1280" s="4">
        <v>19</v>
      </c>
      <c r="F1280" s="8">
        <v>7.6</v>
      </c>
      <c r="G1280" s="4">
        <v>1</v>
      </c>
      <c r="H1280" s="8">
        <v>0.57999999999999996</v>
      </c>
      <c r="I1280" s="4">
        <v>0</v>
      </c>
    </row>
    <row r="1281" spans="1:9" x14ac:dyDescent="0.2">
      <c r="A1281" s="2">
        <v>5</v>
      </c>
      <c r="B1281" s="1" t="s">
        <v>172</v>
      </c>
      <c r="C1281" s="4">
        <v>15</v>
      </c>
      <c r="D1281" s="8">
        <v>3.49</v>
      </c>
      <c r="E1281" s="4">
        <v>13</v>
      </c>
      <c r="F1281" s="8">
        <v>5.2</v>
      </c>
      <c r="G1281" s="4">
        <v>2</v>
      </c>
      <c r="H1281" s="8">
        <v>1.1599999999999999</v>
      </c>
      <c r="I1281" s="4">
        <v>0</v>
      </c>
    </row>
    <row r="1282" spans="1:9" x14ac:dyDescent="0.2">
      <c r="A1282" s="2">
        <v>6</v>
      </c>
      <c r="B1282" s="1" t="s">
        <v>163</v>
      </c>
      <c r="C1282" s="4">
        <v>12</v>
      </c>
      <c r="D1282" s="8">
        <v>2.79</v>
      </c>
      <c r="E1282" s="4">
        <v>9</v>
      </c>
      <c r="F1282" s="8">
        <v>3.6</v>
      </c>
      <c r="G1282" s="4">
        <v>3</v>
      </c>
      <c r="H1282" s="8">
        <v>1.73</v>
      </c>
      <c r="I1282" s="4">
        <v>0</v>
      </c>
    </row>
    <row r="1283" spans="1:9" x14ac:dyDescent="0.2">
      <c r="A1283" s="2">
        <v>6</v>
      </c>
      <c r="B1283" s="1" t="s">
        <v>174</v>
      </c>
      <c r="C1283" s="4">
        <v>12</v>
      </c>
      <c r="D1283" s="8">
        <v>2.79</v>
      </c>
      <c r="E1283" s="4">
        <v>10</v>
      </c>
      <c r="F1283" s="8">
        <v>4</v>
      </c>
      <c r="G1283" s="4">
        <v>2</v>
      </c>
      <c r="H1283" s="8">
        <v>1.1599999999999999</v>
      </c>
      <c r="I1283" s="4">
        <v>0</v>
      </c>
    </row>
    <row r="1284" spans="1:9" x14ac:dyDescent="0.2">
      <c r="A1284" s="2">
        <v>8</v>
      </c>
      <c r="B1284" s="1" t="s">
        <v>169</v>
      </c>
      <c r="C1284" s="4">
        <v>11</v>
      </c>
      <c r="D1284" s="8">
        <v>2.56</v>
      </c>
      <c r="E1284" s="4">
        <v>8</v>
      </c>
      <c r="F1284" s="8">
        <v>3.2</v>
      </c>
      <c r="G1284" s="4">
        <v>3</v>
      </c>
      <c r="H1284" s="8">
        <v>1.73</v>
      </c>
      <c r="I1284" s="4">
        <v>0</v>
      </c>
    </row>
    <row r="1285" spans="1:9" x14ac:dyDescent="0.2">
      <c r="A1285" s="2">
        <v>9</v>
      </c>
      <c r="B1285" s="1" t="s">
        <v>157</v>
      </c>
      <c r="C1285" s="4">
        <v>10</v>
      </c>
      <c r="D1285" s="8">
        <v>2.33</v>
      </c>
      <c r="E1285" s="4">
        <v>1</v>
      </c>
      <c r="F1285" s="8">
        <v>0.4</v>
      </c>
      <c r="G1285" s="4">
        <v>9</v>
      </c>
      <c r="H1285" s="8">
        <v>5.2</v>
      </c>
      <c r="I1285" s="4">
        <v>0</v>
      </c>
    </row>
    <row r="1286" spans="1:9" x14ac:dyDescent="0.2">
      <c r="A1286" s="2">
        <v>9</v>
      </c>
      <c r="B1286" s="1" t="s">
        <v>160</v>
      </c>
      <c r="C1286" s="4">
        <v>10</v>
      </c>
      <c r="D1286" s="8">
        <v>2.33</v>
      </c>
      <c r="E1286" s="4">
        <v>4</v>
      </c>
      <c r="F1286" s="8">
        <v>1.6</v>
      </c>
      <c r="G1286" s="4">
        <v>6</v>
      </c>
      <c r="H1286" s="8">
        <v>3.47</v>
      </c>
      <c r="I1286" s="4">
        <v>0</v>
      </c>
    </row>
    <row r="1287" spans="1:9" x14ac:dyDescent="0.2">
      <c r="A1287" s="2">
        <v>9</v>
      </c>
      <c r="B1287" s="1" t="s">
        <v>162</v>
      </c>
      <c r="C1287" s="4">
        <v>10</v>
      </c>
      <c r="D1287" s="8">
        <v>2.33</v>
      </c>
      <c r="E1287" s="4">
        <v>5</v>
      </c>
      <c r="F1287" s="8">
        <v>2</v>
      </c>
      <c r="G1287" s="4">
        <v>5</v>
      </c>
      <c r="H1287" s="8">
        <v>2.89</v>
      </c>
      <c r="I1287" s="4">
        <v>0</v>
      </c>
    </row>
    <row r="1288" spans="1:9" x14ac:dyDescent="0.2">
      <c r="A1288" s="2">
        <v>12</v>
      </c>
      <c r="B1288" s="1" t="s">
        <v>161</v>
      </c>
      <c r="C1288" s="4">
        <v>9</v>
      </c>
      <c r="D1288" s="8">
        <v>2.09</v>
      </c>
      <c r="E1288" s="4">
        <v>3</v>
      </c>
      <c r="F1288" s="8">
        <v>1.2</v>
      </c>
      <c r="G1288" s="4">
        <v>6</v>
      </c>
      <c r="H1288" s="8">
        <v>3.47</v>
      </c>
      <c r="I1288" s="4">
        <v>0</v>
      </c>
    </row>
    <row r="1289" spans="1:9" x14ac:dyDescent="0.2">
      <c r="A1289" s="2">
        <v>12</v>
      </c>
      <c r="B1289" s="1" t="s">
        <v>178</v>
      </c>
      <c r="C1289" s="4">
        <v>9</v>
      </c>
      <c r="D1289" s="8">
        <v>2.09</v>
      </c>
      <c r="E1289" s="4">
        <v>2</v>
      </c>
      <c r="F1289" s="8">
        <v>0.8</v>
      </c>
      <c r="G1289" s="4">
        <v>7</v>
      </c>
      <c r="H1289" s="8">
        <v>4.05</v>
      </c>
      <c r="I1289" s="4">
        <v>0</v>
      </c>
    </row>
    <row r="1290" spans="1:9" x14ac:dyDescent="0.2">
      <c r="A1290" s="2">
        <v>12</v>
      </c>
      <c r="B1290" s="1" t="s">
        <v>175</v>
      </c>
      <c r="C1290" s="4">
        <v>9</v>
      </c>
      <c r="D1290" s="8">
        <v>2.09</v>
      </c>
      <c r="E1290" s="4">
        <v>8</v>
      </c>
      <c r="F1290" s="8">
        <v>3.2</v>
      </c>
      <c r="G1290" s="4">
        <v>1</v>
      </c>
      <c r="H1290" s="8">
        <v>0.57999999999999996</v>
      </c>
      <c r="I1290" s="4">
        <v>0</v>
      </c>
    </row>
    <row r="1291" spans="1:9" x14ac:dyDescent="0.2">
      <c r="A1291" s="2">
        <v>15</v>
      </c>
      <c r="B1291" s="1" t="s">
        <v>188</v>
      </c>
      <c r="C1291" s="4">
        <v>8</v>
      </c>
      <c r="D1291" s="8">
        <v>1.86</v>
      </c>
      <c r="E1291" s="4">
        <v>6</v>
      </c>
      <c r="F1291" s="8">
        <v>2.4</v>
      </c>
      <c r="G1291" s="4">
        <v>2</v>
      </c>
      <c r="H1291" s="8">
        <v>1.1599999999999999</v>
      </c>
      <c r="I1291" s="4">
        <v>0</v>
      </c>
    </row>
    <row r="1292" spans="1:9" x14ac:dyDescent="0.2">
      <c r="A1292" s="2">
        <v>16</v>
      </c>
      <c r="B1292" s="1" t="s">
        <v>158</v>
      </c>
      <c r="C1292" s="4">
        <v>7</v>
      </c>
      <c r="D1292" s="8">
        <v>1.63</v>
      </c>
      <c r="E1292" s="4">
        <v>1</v>
      </c>
      <c r="F1292" s="8">
        <v>0.4</v>
      </c>
      <c r="G1292" s="4">
        <v>6</v>
      </c>
      <c r="H1292" s="8">
        <v>3.47</v>
      </c>
      <c r="I1292" s="4">
        <v>0</v>
      </c>
    </row>
    <row r="1293" spans="1:9" x14ac:dyDescent="0.2">
      <c r="A1293" s="2">
        <v>16</v>
      </c>
      <c r="B1293" s="1" t="s">
        <v>164</v>
      </c>
      <c r="C1293" s="4">
        <v>7</v>
      </c>
      <c r="D1293" s="8">
        <v>1.63</v>
      </c>
      <c r="E1293" s="4">
        <v>5</v>
      </c>
      <c r="F1293" s="8">
        <v>2</v>
      </c>
      <c r="G1293" s="4">
        <v>2</v>
      </c>
      <c r="H1293" s="8">
        <v>1.1599999999999999</v>
      </c>
      <c r="I1293" s="4">
        <v>0</v>
      </c>
    </row>
    <row r="1294" spans="1:9" x14ac:dyDescent="0.2">
      <c r="A1294" s="2">
        <v>16</v>
      </c>
      <c r="B1294" s="1" t="s">
        <v>228</v>
      </c>
      <c r="C1294" s="4">
        <v>7</v>
      </c>
      <c r="D1294" s="8">
        <v>1.63</v>
      </c>
      <c r="E1294" s="4">
        <v>2</v>
      </c>
      <c r="F1294" s="8">
        <v>0.8</v>
      </c>
      <c r="G1294" s="4">
        <v>5</v>
      </c>
      <c r="H1294" s="8">
        <v>2.89</v>
      </c>
      <c r="I1294" s="4">
        <v>0</v>
      </c>
    </row>
    <row r="1295" spans="1:9" x14ac:dyDescent="0.2">
      <c r="A1295" s="2">
        <v>19</v>
      </c>
      <c r="B1295" s="1" t="s">
        <v>177</v>
      </c>
      <c r="C1295" s="4">
        <v>6</v>
      </c>
      <c r="D1295" s="8">
        <v>1.4</v>
      </c>
      <c r="E1295" s="4">
        <v>3</v>
      </c>
      <c r="F1295" s="8">
        <v>1.2</v>
      </c>
      <c r="G1295" s="4">
        <v>3</v>
      </c>
      <c r="H1295" s="8">
        <v>1.73</v>
      </c>
      <c r="I1295" s="4">
        <v>0</v>
      </c>
    </row>
    <row r="1296" spans="1:9" x14ac:dyDescent="0.2">
      <c r="A1296" s="2">
        <v>19</v>
      </c>
      <c r="B1296" s="1" t="s">
        <v>185</v>
      </c>
      <c r="C1296" s="4">
        <v>6</v>
      </c>
      <c r="D1296" s="8">
        <v>1.4</v>
      </c>
      <c r="E1296" s="4">
        <v>1</v>
      </c>
      <c r="F1296" s="8">
        <v>0.4</v>
      </c>
      <c r="G1296" s="4">
        <v>5</v>
      </c>
      <c r="H1296" s="8">
        <v>2.89</v>
      </c>
      <c r="I1296" s="4">
        <v>0</v>
      </c>
    </row>
    <row r="1297" spans="1:9" x14ac:dyDescent="0.2">
      <c r="A1297" s="1"/>
      <c r="C1297" s="4"/>
      <c r="D1297" s="8"/>
      <c r="E1297" s="4"/>
      <c r="F1297" s="8"/>
      <c r="G1297" s="4"/>
      <c r="H1297" s="8"/>
      <c r="I1297" s="4"/>
    </row>
    <row r="1298" spans="1:9" x14ac:dyDescent="0.2">
      <c r="A1298" s="1" t="s">
        <v>57</v>
      </c>
      <c r="C1298" s="4"/>
      <c r="D1298" s="8"/>
      <c r="E1298" s="4"/>
      <c r="F1298" s="8"/>
      <c r="G1298" s="4"/>
      <c r="H1298" s="8"/>
      <c r="I1298" s="4"/>
    </row>
    <row r="1299" spans="1:9" x14ac:dyDescent="0.2">
      <c r="A1299" s="2">
        <v>1</v>
      </c>
      <c r="B1299" s="1" t="s">
        <v>173</v>
      </c>
      <c r="C1299" s="4">
        <v>29</v>
      </c>
      <c r="D1299" s="8">
        <v>4.32</v>
      </c>
      <c r="E1299" s="4">
        <v>27</v>
      </c>
      <c r="F1299" s="8">
        <v>6.82</v>
      </c>
      <c r="G1299" s="4">
        <v>2</v>
      </c>
      <c r="H1299" s="8">
        <v>0.75</v>
      </c>
      <c r="I1299" s="4">
        <v>0</v>
      </c>
    </row>
    <row r="1300" spans="1:9" x14ac:dyDescent="0.2">
      <c r="A1300" s="2">
        <v>2</v>
      </c>
      <c r="B1300" s="1" t="s">
        <v>167</v>
      </c>
      <c r="C1300" s="4">
        <v>23</v>
      </c>
      <c r="D1300" s="8">
        <v>3.43</v>
      </c>
      <c r="E1300" s="4">
        <v>15</v>
      </c>
      <c r="F1300" s="8">
        <v>3.79</v>
      </c>
      <c r="G1300" s="4">
        <v>8</v>
      </c>
      <c r="H1300" s="8">
        <v>2.99</v>
      </c>
      <c r="I1300" s="4">
        <v>0</v>
      </c>
    </row>
    <row r="1301" spans="1:9" x14ac:dyDescent="0.2">
      <c r="A1301" s="2">
        <v>2</v>
      </c>
      <c r="B1301" s="1" t="s">
        <v>172</v>
      </c>
      <c r="C1301" s="4">
        <v>23</v>
      </c>
      <c r="D1301" s="8">
        <v>3.43</v>
      </c>
      <c r="E1301" s="4">
        <v>23</v>
      </c>
      <c r="F1301" s="8">
        <v>5.81</v>
      </c>
      <c r="G1301" s="4">
        <v>0</v>
      </c>
      <c r="H1301" s="8">
        <v>0</v>
      </c>
      <c r="I1301" s="4">
        <v>0</v>
      </c>
    </row>
    <row r="1302" spans="1:9" x14ac:dyDescent="0.2">
      <c r="A1302" s="2">
        <v>4</v>
      </c>
      <c r="B1302" s="1" t="s">
        <v>174</v>
      </c>
      <c r="C1302" s="4">
        <v>21</v>
      </c>
      <c r="D1302" s="8">
        <v>3.13</v>
      </c>
      <c r="E1302" s="4">
        <v>17</v>
      </c>
      <c r="F1302" s="8">
        <v>4.29</v>
      </c>
      <c r="G1302" s="4">
        <v>4</v>
      </c>
      <c r="H1302" s="8">
        <v>1.49</v>
      </c>
      <c r="I1302" s="4">
        <v>0</v>
      </c>
    </row>
    <row r="1303" spans="1:9" x14ac:dyDescent="0.2">
      <c r="A1303" s="2">
        <v>5</v>
      </c>
      <c r="B1303" s="1" t="s">
        <v>157</v>
      </c>
      <c r="C1303" s="4">
        <v>19</v>
      </c>
      <c r="D1303" s="8">
        <v>2.83</v>
      </c>
      <c r="E1303" s="4">
        <v>3</v>
      </c>
      <c r="F1303" s="8">
        <v>0.76</v>
      </c>
      <c r="G1303" s="4">
        <v>16</v>
      </c>
      <c r="H1303" s="8">
        <v>5.97</v>
      </c>
      <c r="I1303" s="4">
        <v>0</v>
      </c>
    </row>
    <row r="1304" spans="1:9" x14ac:dyDescent="0.2">
      <c r="A1304" s="2">
        <v>6</v>
      </c>
      <c r="B1304" s="1" t="s">
        <v>170</v>
      </c>
      <c r="C1304" s="4">
        <v>17</v>
      </c>
      <c r="D1304" s="8">
        <v>2.5299999999999998</v>
      </c>
      <c r="E1304" s="4">
        <v>16</v>
      </c>
      <c r="F1304" s="8">
        <v>4.04</v>
      </c>
      <c r="G1304" s="4">
        <v>1</v>
      </c>
      <c r="H1304" s="8">
        <v>0.37</v>
      </c>
      <c r="I1304" s="4">
        <v>0</v>
      </c>
    </row>
    <row r="1305" spans="1:9" x14ac:dyDescent="0.2">
      <c r="A1305" s="2">
        <v>7</v>
      </c>
      <c r="B1305" s="1" t="s">
        <v>162</v>
      </c>
      <c r="C1305" s="4">
        <v>16</v>
      </c>
      <c r="D1305" s="8">
        <v>2.38</v>
      </c>
      <c r="E1305" s="4">
        <v>11</v>
      </c>
      <c r="F1305" s="8">
        <v>2.78</v>
      </c>
      <c r="G1305" s="4">
        <v>5</v>
      </c>
      <c r="H1305" s="8">
        <v>1.87</v>
      </c>
      <c r="I1305" s="4">
        <v>0</v>
      </c>
    </row>
    <row r="1306" spans="1:9" x14ac:dyDescent="0.2">
      <c r="A1306" s="2">
        <v>7</v>
      </c>
      <c r="B1306" s="1" t="s">
        <v>169</v>
      </c>
      <c r="C1306" s="4">
        <v>16</v>
      </c>
      <c r="D1306" s="8">
        <v>2.38</v>
      </c>
      <c r="E1306" s="4">
        <v>14</v>
      </c>
      <c r="F1306" s="8">
        <v>3.54</v>
      </c>
      <c r="G1306" s="4">
        <v>2</v>
      </c>
      <c r="H1306" s="8">
        <v>0.75</v>
      </c>
      <c r="I1306" s="4">
        <v>0</v>
      </c>
    </row>
    <row r="1307" spans="1:9" x14ac:dyDescent="0.2">
      <c r="A1307" s="2">
        <v>9</v>
      </c>
      <c r="B1307" s="1" t="s">
        <v>175</v>
      </c>
      <c r="C1307" s="4">
        <v>14</v>
      </c>
      <c r="D1307" s="8">
        <v>2.09</v>
      </c>
      <c r="E1307" s="4">
        <v>12</v>
      </c>
      <c r="F1307" s="8">
        <v>3.03</v>
      </c>
      <c r="G1307" s="4">
        <v>2</v>
      </c>
      <c r="H1307" s="8">
        <v>0.75</v>
      </c>
      <c r="I1307" s="4">
        <v>0</v>
      </c>
    </row>
    <row r="1308" spans="1:9" x14ac:dyDescent="0.2">
      <c r="A1308" s="2">
        <v>10</v>
      </c>
      <c r="B1308" s="1" t="s">
        <v>163</v>
      </c>
      <c r="C1308" s="4">
        <v>13</v>
      </c>
      <c r="D1308" s="8">
        <v>1.94</v>
      </c>
      <c r="E1308" s="4">
        <v>8</v>
      </c>
      <c r="F1308" s="8">
        <v>2.02</v>
      </c>
      <c r="G1308" s="4">
        <v>5</v>
      </c>
      <c r="H1308" s="8">
        <v>1.87</v>
      </c>
      <c r="I1308" s="4">
        <v>0</v>
      </c>
    </row>
    <row r="1309" spans="1:9" x14ac:dyDescent="0.2">
      <c r="A1309" s="2">
        <v>10</v>
      </c>
      <c r="B1309" s="1" t="s">
        <v>164</v>
      </c>
      <c r="C1309" s="4">
        <v>13</v>
      </c>
      <c r="D1309" s="8">
        <v>1.94</v>
      </c>
      <c r="E1309" s="4">
        <v>8</v>
      </c>
      <c r="F1309" s="8">
        <v>2.02</v>
      </c>
      <c r="G1309" s="4">
        <v>5</v>
      </c>
      <c r="H1309" s="8">
        <v>1.87</v>
      </c>
      <c r="I1309" s="4">
        <v>0</v>
      </c>
    </row>
    <row r="1310" spans="1:9" x14ac:dyDescent="0.2">
      <c r="A1310" s="2">
        <v>12</v>
      </c>
      <c r="B1310" s="1" t="s">
        <v>223</v>
      </c>
      <c r="C1310" s="4">
        <v>12</v>
      </c>
      <c r="D1310" s="8">
        <v>1.79</v>
      </c>
      <c r="E1310" s="4">
        <v>7</v>
      </c>
      <c r="F1310" s="8">
        <v>1.77</v>
      </c>
      <c r="G1310" s="4">
        <v>5</v>
      </c>
      <c r="H1310" s="8">
        <v>1.87</v>
      </c>
      <c r="I1310" s="4">
        <v>0</v>
      </c>
    </row>
    <row r="1311" spans="1:9" x14ac:dyDescent="0.2">
      <c r="A1311" s="2">
        <v>13</v>
      </c>
      <c r="B1311" s="1" t="s">
        <v>188</v>
      </c>
      <c r="C1311" s="4">
        <v>11</v>
      </c>
      <c r="D1311" s="8">
        <v>1.64</v>
      </c>
      <c r="E1311" s="4">
        <v>7</v>
      </c>
      <c r="F1311" s="8">
        <v>1.77</v>
      </c>
      <c r="G1311" s="4">
        <v>4</v>
      </c>
      <c r="H1311" s="8">
        <v>1.49</v>
      </c>
      <c r="I1311" s="4">
        <v>0</v>
      </c>
    </row>
    <row r="1312" spans="1:9" x14ac:dyDescent="0.2">
      <c r="A1312" s="2">
        <v>14</v>
      </c>
      <c r="B1312" s="1" t="s">
        <v>158</v>
      </c>
      <c r="C1312" s="4">
        <v>10</v>
      </c>
      <c r="D1312" s="8">
        <v>1.49</v>
      </c>
      <c r="E1312" s="4">
        <v>3</v>
      </c>
      <c r="F1312" s="8">
        <v>0.76</v>
      </c>
      <c r="G1312" s="4">
        <v>7</v>
      </c>
      <c r="H1312" s="8">
        <v>2.61</v>
      </c>
      <c r="I1312" s="4">
        <v>0</v>
      </c>
    </row>
    <row r="1313" spans="1:9" x14ac:dyDescent="0.2">
      <c r="A1313" s="2">
        <v>14</v>
      </c>
      <c r="B1313" s="1" t="s">
        <v>177</v>
      </c>
      <c r="C1313" s="4">
        <v>10</v>
      </c>
      <c r="D1313" s="8">
        <v>1.49</v>
      </c>
      <c r="E1313" s="4">
        <v>4</v>
      </c>
      <c r="F1313" s="8">
        <v>1.01</v>
      </c>
      <c r="G1313" s="4">
        <v>6</v>
      </c>
      <c r="H1313" s="8">
        <v>2.2400000000000002</v>
      </c>
      <c r="I1313" s="4">
        <v>0</v>
      </c>
    </row>
    <row r="1314" spans="1:9" x14ac:dyDescent="0.2">
      <c r="A1314" s="2">
        <v>14</v>
      </c>
      <c r="B1314" s="1" t="s">
        <v>220</v>
      </c>
      <c r="C1314" s="4">
        <v>10</v>
      </c>
      <c r="D1314" s="8">
        <v>1.49</v>
      </c>
      <c r="E1314" s="4">
        <v>5</v>
      </c>
      <c r="F1314" s="8">
        <v>1.26</v>
      </c>
      <c r="G1314" s="4">
        <v>5</v>
      </c>
      <c r="H1314" s="8">
        <v>1.87</v>
      </c>
      <c r="I1314" s="4">
        <v>0</v>
      </c>
    </row>
    <row r="1315" spans="1:9" x14ac:dyDescent="0.2">
      <c r="A1315" s="2">
        <v>14</v>
      </c>
      <c r="B1315" s="1" t="s">
        <v>224</v>
      </c>
      <c r="C1315" s="4">
        <v>10</v>
      </c>
      <c r="D1315" s="8">
        <v>1.49</v>
      </c>
      <c r="E1315" s="4">
        <v>8</v>
      </c>
      <c r="F1315" s="8">
        <v>2.02</v>
      </c>
      <c r="G1315" s="4">
        <v>2</v>
      </c>
      <c r="H1315" s="8">
        <v>0.75</v>
      </c>
      <c r="I1315" s="4">
        <v>0</v>
      </c>
    </row>
    <row r="1316" spans="1:9" x14ac:dyDescent="0.2">
      <c r="A1316" s="2">
        <v>18</v>
      </c>
      <c r="B1316" s="1" t="s">
        <v>159</v>
      </c>
      <c r="C1316" s="4">
        <v>9</v>
      </c>
      <c r="D1316" s="8">
        <v>1.34</v>
      </c>
      <c r="E1316" s="4">
        <v>7</v>
      </c>
      <c r="F1316" s="8">
        <v>1.77</v>
      </c>
      <c r="G1316" s="4">
        <v>2</v>
      </c>
      <c r="H1316" s="8">
        <v>0.75</v>
      </c>
      <c r="I1316" s="4">
        <v>0</v>
      </c>
    </row>
    <row r="1317" spans="1:9" x14ac:dyDescent="0.2">
      <c r="A1317" s="2">
        <v>18</v>
      </c>
      <c r="B1317" s="1" t="s">
        <v>160</v>
      </c>
      <c r="C1317" s="4">
        <v>9</v>
      </c>
      <c r="D1317" s="8">
        <v>1.34</v>
      </c>
      <c r="E1317" s="4">
        <v>3</v>
      </c>
      <c r="F1317" s="8">
        <v>0.76</v>
      </c>
      <c r="G1317" s="4">
        <v>6</v>
      </c>
      <c r="H1317" s="8">
        <v>2.2400000000000002</v>
      </c>
      <c r="I1317" s="4">
        <v>0</v>
      </c>
    </row>
    <row r="1318" spans="1:9" x14ac:dyDescent="0.2">
      <c r="A1318" s="2">
        <v>18</v>
      </c>
      <c r="B1318" s="1" t="s">
        <v>178</v>
      </c>
      <c r="C1318" s="4">
        <v>9</v>
      </c>
      <c r="D1318" s="8">
        <v>1.34</v>
      </c>
      <c r="E1318" s="4">
        <v>4</v>
      </c>
      <c r="F1318" s="8">
        <v>1.01</v>
      </c>
      <c r="G1318" s="4">
        <v>5</v>
      </c>
      <c r="H1318" s="8">
        <v>1.87</v>
      </c>
      <c r="I1318" s="4">
        <v>0</v>
      </c>
    </row>
    <row r="1319" spans="1:9" x14ac:dyDescent="0.2">
      <c r="A1319" s="2">
        <v>18</v>
      </c>
      <c r="B1319" s="1" t="s">
        <v>179</v>
      </c>
      <c r="C1319" s="4">
        <v>9</v>
      </c>
      <c r="D1319" s="8">
        <v>1.34</v>
      </c>
      <c r="E1319" s="4">
        <v>8</v>
      </c>
      <c r="F1319" s="8">
        <v>2.02</v>
      </c>
      <c r="G1319" s="4">
        <v>1</v>
      </c>
      <c r="H1319" s="8">
        <v>0.37</v>
      </c>
      <c r="I1319" s="4">
        <v>0</v>
      </c>
    </row>
    <row r="1320" spans="1:9" x14ac:dyDescent="0.2">
      <c r="A1320" s="1"/>
      <c r="C1320" s="4"/>
      <c r="D1320" s="8"/>
      <c r="E1320" s="4"/>
      <c r="F1320" s="8"/>
      <c r="G1320" s="4"/>
      <c r="H1320" s="8"/>
      <c r="I1320" s="4"/>
    </row>
    <row r="1321" spans="1:9" x14ac:dyDescent="0.2">
      <c r="A1321" s="1" t="s">
        <v>58</v>
      </c>
      <c r="C1321" s="4"/>
      <c r="D1321" s="8"/>
      <c r="E1321" s="4"/>
      <c r="F1321" s="8"/>
      <c r="G1321" s="4"/>
      <c r="H1321" s="8"/>
      <c r="I1321" s="4"/>
    </row>
    <row r="1322" spans="1:9" x14ac:dyDescent="0.2">
      <c r="A1322" s="2">
        <v>1</v>
      </c>
      <c r="B1322" s="1" t="s">
        <v>176</v>
      </c>
      <c r="C1322" s="4">
        <v>21</v>
      </c>
      <c r="D1322" s="8">
        <v>4.29</v>
      </c>
      <c r="E1322" s="4">
        <v>12</v>
      </c>
      <c r="F1322" s="8">
        <v>5.26</v>
      </c>
      <c r="G1322" s="4">
        <v>9</v>
      </c>
      <c r="H1322" s="8">
        <v>3.46</v>
      </c>
      <c r="I1322" s="4">
        <v>0</v>
      </c>
    </row>
    <row r="1323" spans="1:9" x14ac:dyDescent="0.2">
      <c r="A1323" s="2">
        <v>2</v>
      </c>
      <c r="B1323" s="1" t="s">
        <v>160</v>
      </c>
      <c r="C1323" s="4">
        <v>17</v>
      </c>
      <c r="D1323" s="8">
        <v>3.47</v>
      </c>
      <c r="E1323" s="4">
        <v>9</v>
      </c>
      <c r="F1323" s="8">
        <v>3.95</v>
      </c>
      <c r="G1323" s="4">
        <v>8</v>
      </c>
      <c r="H1323" s="8">
        <v>3.08</v>
      </c>
      <c r="I1323" s="4">
        <v>0</v>
      </c>
    </row>
    <row r="1324" spans="1:9" x14ac:dyDescent="0.2">
      <c r="A1324" s="2">
        <v>3</v>
      </c>
      <c r="B1324" s="1" t="s">
        <v>170</v>
      </c>
      <c r="C1324" s="4">
        <v>16</v>
      </c>
      <c r="D1324" s="8">
        <v>3.27</v>
      </c>
      <c r="E1324" s="4">
        <v>16</v>
      </c>
      <c r="F1324" s="8">
        <v>7.02</v>
      </c>
      <c r="G1324" s="4">
        <v>0</v>
      </c>
      <c r="H1324" s="8">
        <v>0</v>
      </c>
      <c r="I1324" s="4">
        <v>0</v>
      </c>
    </row>
    <row r="1325" spans="1:9" x14ac:dyDescent="0.2">
      <c r="A1325" s="2">
        <v>3</v>
      </c>
      <c r="B1325" s="1" t="s">
        <v>172</v>
      </c>
      <c r="C1325" s="4">
        <v>16</v>
      </c>
      <c r="D1325" s="8">
        <v>3.27</v>
      </c>
      <c r="E1325" s="4">
        <v>16</v>
      </c>
      <c r="F1325" s="8">
        <v>7.02</v>
      </c>
      <c r="G1325" s="4">
        <v>0</v>
      </c>
      <c r="H1325" s="8">
        <v>0</v>
      </c>
      <c r="I1325" s="4">
        <v>0</v>
      </c>
    </row>
    <row r="1326" spans="1:9" x14ac:dyDescent="0.2">
      <c r="A1326" s="2">
        <v>5</v>
      </c>
      <c r="B1326" s="1" t="s">
        <v>158</v>
      </c>
      <c r="C1326" s="4">
        <v>15</v>
      </c>
      <c r="D1326" s="8">
        <v>3.06</v>
      </c>
      <c r="E1326" s="4">
        <v>5</v>
      </c>
      <c r="F1326" s="8">
        <v>2.19</v>
      </c>
      <c r="G1326" s="4">
        <v>10</v>
      </c>
      <c r="H1326" s="8">
        <v>3.85</v>
      </c>
      <c r="I1326" s="4">
        <v>0</v>
      </c>
    </row>
    <row r="1327" spans="1:9" x14ac:dyDescent="0.2">
      <c r="A1327" s="2">
        <v>5</v>
      </c>
      <c r="B1327" s="1" t="s">
        <v>173</v>
      </c>
      <c r="C1327" s="4">
        <v>15</v>
      </c>
      <c r="D1327" s="8">
        <v>3.06</v>
      </c>
      <c r="E1327" s="4">
        <v>14</v>
      </c>
      <c r="F1327" s="8">
        <v>6.14</v>
      </c>
      <c r="G1327" s="4">
        <v>1</v>
      </c>
      <c r="H1327" s="8">
        <v>0.38</v>
      </c>
      <c r="I1327" s="4">
        <v>0</v>
      </c>
    </row>
    <row r="1328" spans="1:9" x14ac:dyDescent="0.2">
      <c r="A1328" s="2">
        <v>7</v>
      </c>
      <c r="B1328" s="1" t="s">
        <v>157</v>
      </c>
      <c r="C1328" s="4">
        <v>14</v>
      </c>
      <c r="D1328" s="8">
        <v>2.86</v>
      </c>
      <c r="E1328" s="4">
        <v>4</v>
      </c>
      <c r="F1328" s="8">
        <v>1.75</v>
      </c>
      <c r="G1328" s="4">
        <v>10</v>
      </c>
      <c r="H1328" s="8">
        <v>3.85</v>
      </c>
      <c r="I1328" s="4">
        <v>0</v>
      </c>
    </row>
    <row r="1329" spans="1:9" x14ac:dyDescent="0.2">
      <c r="A1329" s="2">
        <v>7</v>
      </c>
      <c r="B1329" s="1" t="s">
        <v>159</v>
      </c>
      <c r="C1329" s="4">
        <v>14</v>
      </c>
      <c r="D1329" s="8">
        <v>2.86</v>
      </c>
      <c r="E1329" s="4">
        <v>12</v>
      </c>
      <c r="F1329" s="8">
        <v>5.26</v>
      </c>
      <c r="G1329" s="4">
        <v>2</v>
      </c>
      <c r="H1329" s="8">
        <v>0.77</v>
      </c>
      <c r="I1329" s="4">
        <v>0</v>
      </c>
    </row>
    <row r="1330" spans="1:9" x14ac:dyDescent="0.2">
      <c r="A1330" s="2">
        <v>9</v>
      </c>
      <c r="B1330" s="1" t="s">
        <v>182</v>
      </c>
      <c r="C1330" s="4">
        <v>13</v>
      </c>
      <c r="D1330" s="8">
        <v>2.65</v>
      </c>
      <c r="E1330" s="4">
        <v>5</v>
      </c>
      <c r="F1330" s="8">
        <v>2.19</v>
      </c>
      <c r="G1330" s="4">
        <v>8</v>
      </c>
      <c r="H1330" s="8">
        <v>3.08</v>
      </c>
      <c r="I1330" s="4">
        <v>0</v>
      </c>
    </row>
    <row r="1331" spans="1:9" x14ac:dyDescent="0.2">
      <c r="A1331" s="2">
        <v>9</v>
      </c>
      <c r="B1331" s="1" t="s">
        <v>161</v>
      </c>
      <c r="C1331" s="4">
        <v>13</v>
      </c>
      <c r="D1331" s="8">
        <v>2.65</v>
      </c>
      <c r="E1331" s="4">
        <v>2</v>
      </c>
      <c r="F1331" s="8">
        <v>0.88</v>
      </c>
      <c r="G1331" s="4">
        <v>11</v>
      </c>
      <c r="H1331" s="8">
        <v>4.2300000000000004</v>
      </c>
      <c r="I1331" s="4">
        <v>0</v>
      </c>
    </row>
    <row r="1332" spans="1:9" x14ac:dyDescent="0.2">
      <c r="A1332" s="2">
        <v>9</v>
      </c>
      <c r="B1332" s="1" t="s">
        <v>200</v>
      </c>
      <c r="C1332" s="4">
        <v>13</v>
      </c>
      <c r="D1332" s="8">
        <v>2.65</v>
      </c>
      <c r="E1332" s="4">
        <v>2</v>
      </c>
      <c r="F1332" s="8">
        <v>0.88</v>
      </c>
      <c r="G1332" s="4">
        <v>11</v>
      </c>
      <c r="H1332" s="8">
        <v>4.2300000000000004</v>
      </c>
      <c r="I1332" s="4">
        <v>0</v>
      </c>
    </row>
    <row r="1333" spans="1:9" x14ac:dyDescent="0.2">
      <c r="A1333" s="2">
        <v>12</v>
      </c>
      <c r="B1333" s="1" t="s">
        <v>163</v>
      </c>
      <c r="C1333" s="4">
        <v>12</v>
      </c>
      <c r="D1333" s="8">
        <v>2.4500000000000002</v>
      </c>
      <c r="E1333" s="4">
        <v>8</v>
      </c>
      <c r="F1333" s="8">
        <v>3.51</v>
      </c>
      <c r="G1333" s="4">
        <v>4</v>
      </c>
      <c r="H1333" s="8">
        <v>1.54</v>
      </c>
      <c r="I1333" s="4">
        <v>0</v>
      </c>
    </row>
    <row r="1334" spans="1:9" x14ac:dyDescent="0.2">
      <c r="A1334" s="2">
        <v>13</v>
      </c>
      <c r="B1334" s="1" t="s">
        <v>230</v>
      </c>
      <c r="C1334" s="4">
        <v>8</v>
      </c>
      <c r="D1334" s="8">
        <v>1.63</v>
      </c>
      <c r="E1334" s="4">
        <v>4</v>
      </c>
      <c r="F1334" s="8">
        <v>1.75</v>
      </c>
      <c r="G1334" s="4">
        <v>4</v>
      </c>
      <c r="H1334" s="8">
        <v>1.54</v>
      </c>
      <c r="I1334" s="4">
        <v>0</v>
      </c>
    </row>
    <row r="1335" spans="1:9" x14ac:dyDescent="0.2">
      <c r="A1335" s="2">
        <v>13</v>
      </c>
      <c r="B1335" s="1" t="s">
        <v>174</v>
      </c>
      <c r="C1335" s="4">
        <v>8</v>
      </c>
      <c r="D1335" s="8">
        <v>1.63</v>
      </c>
      <c r="E1335" s="4">
        <v>8</v>
      </c>
      <c r="F1335" s="8">
        <v>3.51</v>
      </c>
      <c r="G1335" s="4">
        <v>0</v>
      </c>
      <c r="H1335" s="8">
        <v>0</v>
      </c>
      <c r="I1335" s="4">
        <v>0</v>
      </c>
    </row>
    <row r="1336" spans="1:9" x14ac:dyDescent="0.2">
      <c r="A1336" s="2">
        <v>15</v>
      </c>
      <c r="B1336" s="1" t="s">
        <v>181</v>
      </c>
      <c r="C1336" s="4">
        <v>7</v>
      </c>
      <c r="D1336" s="8">
        <v>1.43</v>
      </c>
      <c r="E1336" s="4">
        <v>3</v>
      </c>
      <c r="F1336" s="8">
        <v>1.32</v>
      </c>
      <c r="G1336" s="4">
        <v>4</v>
      </c>
      <c r="H1336" s="8">
        <v>1.54</v>
      </c>
      <c r="I1336" s="4">
        <v>0</v>
      </c>
    </row>
    <row r="1337" spans="1:9" x14ac:dyDescent="0.2">
      <c r="A1337" s="2">
        <v>15</v>
      </c>
      <c r="B1337" s="1" t="s">
        <v>231</v>
      </c>
      <c r="C1337" s="4">
        <v>7</v>
      </c>
      <c r="D1337" s="8">
        <v>1.43</v>
      </c>
      <c r="E1337" s="4">
        <v>5</v>
      </c>
      <c r="F1337" s="8">
        <v>2.19</v>
      </c>
      <c r="G1337" s="4">
        <v>2</v>
      </c>
      <c r="H1337" s="8">
        <v>0.77</v>
      </c>
      <c r="I1337" s="4">
        <v>0</v>
      </c>
    </row>
    <row r="1338" spans="1:9" x14ac:dyDescent="0.2">
      <c r="A1338" s="2">
        <v>15</v>
      </c>
      <c r="B1338" s="1" t="s">
        <v>206</v>
      </c>
      <c r="C1338" s="4">
        <v>7</v>
      </c>
      <c r="D1338" s="8">
        <v>1.43</v>
      </c>
      <c r="E1338" s="4">
        <v>6</v>
      </c>
      <c r="F1338" s="8">
        <v>2.63</v>
      </c>
      <c r="G1338" s="4">
        <v>1</v>
      </c>
      <c r="H1338" s="8">
        <v>0.38</v>
      </c>
      <c r="I1338" s="4">
        <v>0</v>
      </c>
    </row>
    <row r="1339" spans="1:9" x14ac:dyDescent="0.2">
      <c r="A1339" s="2">
        <v>18</v>
      </c>
      <c r="B1339" s="1" t="s">
        <v>216</v>
      </c>
      <c r="C1339" s="4">
        <v>6</v>
      </c>
      <c r="D1339" s="8">
        <v>1.22</v>
      </c>
      <c r="E1339" s="4">
        <v>4</v>
      </c>
      <c r="F1339" s="8">
        <v>1.75</v>
      </c>
      <c r="G1339" s="4">
        <v>2</v>
      </c>
      <c r="H1339" s="8">
        <v>0.77</v>
      </c>
      <c r="I1339" s="4">
        <v>0</v>
      </c>
    </row>
    <row r="1340" spans="1:9" x14ac:dyDescent="0.2">
      <c r="A1340" s="2">
        <v>18</v>
      </c>
      <c r="B1340" s="1" t="s">
        <v>180</v>
      </c>
      <c r="C1340" s="4">
        <v>6</v>
      </c>
      <c r="D1340" s="8">
        <v>1.22</v>
      </c>
      <c r="E1340" s="4">
        <v>3</v>
      </c>
      <c r="F1340" s="8">
        <v>1.32</v>
      </c>
      <c r="G1340" s="4">
        <v>3</v>
      </c>
      <c r="H1340" s="8">
        <v>1.1499999999999999</v>
      </c>
      <c r="I1340" s="4">
        <v>0</v>
      </c>
    </row>
    <row r="1341" spans="1:9" x14ac:dyDescent="0.2">
      <c r="A1341" s="2">
        <v>18</v>
      </c>
      <c r="B1341" s="1" t="s">
        <v>229</v>
      </c>
      <c r="C1341" s="4">
        <v>6</v>
      </c>
      <c r="D1341" s="8">
        <v>1.22</v>
      </c>
      <c r="E1341" s="4">
        <v>2</v>
      </c>
      <c r="F1341" s="8">
        <v>0.88</v>
      </c>
      <c r="G1341" s="4">
        <v>4</v>
      </c>
      <c r="H1341" s="8">
        <v>1.54</v>
      </c>
      <c r="I1341" s="4">
        <v>0</v>
      </c>
    </row>
    <row r="1342" spans="1:9" x14ac:dyDescent="0.2">
      <c r="A1342" s="2">
        <v>18</v>
      </c>
      <c r="B1342" s="1" t="s">
        <v>214</v>
      </c>
      <c r="C1342" s="4">
        <v>6</v>
      </c>
      <c r="D1342" s="8">
        <v>1.22</v>
      </c>
      <c r="E1342" s="4">
        <v>1</v>
      </c>
      <c r="F1342" s="8">
        <v>0.44</v>
      </c>
      <c r="G1342" s="4">
        <v>5</v>
      </c>
      <c r="H1342" s="8">
        <v>1.92</v>
      </c>
      <c r="I1342" s="4">
        <v>0</v>
      </c>
    </row>
    <row r="1343" spans="1:9" x14ac:dyDescent="0.2">
      <c r="A1343" s="2">
        <v>18</v>
      </c>
      <c r="B1343" s="1" t="s">
        <v>178</v>
      </c>
      <c r="C1343" s="4">
        <v>6</v>
      </c>
      <c r="D1343" s="8">
        <v>1.22</v>
      </c>
      <c r="E1343" s="4">
        <v>1</v>
      </c>
      <c r="F1343" s="8">
        <v>0.44</v>
      </c>
      <c r="G1343" s="4">
        <v>5</v>
      </c>
      <c r="H1343" s="8">
        <v>1.92</v>
      </c>
      <c r="I1343" s="4">
        <v>0</v>
      </c>
    </row>
    <row r="1344" spans="1:9" x14ac:dyDescent="0.2">
      <c r="A1344" s="2">
        <v>18</v>
      </c>
      <c r="B1344" s="1" t="s">
        <v>169</v>
      </c>
      <c r="C1344" s="4">
        <v>6</v>
      </c>
      <c r="D1344" s="8">
        <v>1.22</v>
      </c>
      <c r="E1344" s="4">
        <v>5</v>
      </c>
      <c r="F1344" s="8">
        <v>2.19</v>
      </c>
      <c r="G1344" s="4">
        <v>1</v>
      </c>
      <c r="H1344" s="8">
        <v>0.38</v>
      </c>
      <c r="I1344" s="4">
        <v>0</v>
      </c>
    </row>
    <row r="1345" spans="1:9" x14ac:dyDescent="0.2">
      <c r="A1345" s="1"/>
      <c r="C1345" s="4"/>
      <c r="D1345" s="8"/>
      <c r="E1345" s="4"/>
      <c r="F1345" s="8"/>
      <c r="G1345" s="4"/>
      <c r="H1345" s="8"/>
      <c r="I1345" s="4"/>
    </row>
    <row r="1346" spans="1:9" x14ac:dyDescent="0.2">
      <c r="A1346" s="1" t="s">
        <v>59</v>
      </c>
      <c r="C1346" s="4"/>
      <c r="D1346" s="8"/>
      <c r="E1346" s="4"/>
      <c r="F1346" s="8"/>
      <c r="G1346" s="4"/>
      <c r="H1346" s="8"/>
      <c r="I1346" s="4"/>
    </row>
    <row r="1347" spans="1:9" x14ac:dyDescent="0.2">
      <c r="A1347" s="2">
        <v>1</v>
      </c>
      <c r="B1347" s="1" t="s">
        <v>159</v>
      </c>
      <c r="C1347" s="4">
        <v>22</v>
      </c>
      <c r="D1347" s="8">
        <v>5.56</v>
      </c>
      <c r="E1347" s="4">
        <v>17</v>
      </c>
      <c r="F1347" s="8">
        <v>8.3699999999999992</v>
      </c>
      <c r="G1347" s="4">
        <v>5</v>
      </c>
      <c r="H1347" s="8">
        <v>2.65</v>
      </c>
      <c r="I1347" s="4">
        <v>0</v>
      </c>
    </row>
    <row r="1348" spans="1:9" x14ac:dyDescent="0.2">
      <c r="A1348" s="2">
        <v>2</v>
      </c>
      <c r="B1348" s="1" t="s">
        <v>182</v>
      </c>
      <c r="C1348" s="4">
        <v>15</v>
      </c>
      <c r="D1348" s="8">
        <v>3.79</v>
      </c>
      <c r="E1348" s="4">
        <v>7</v>
      </c>
      <c r="F1348" s="8">
        <v>3.45</v>
      </c>
      <c r="G1348" s="4">
        <v>8</v>
      </c>
      <c r="H1348" s="8">
        <v>4.2300000000000004</v>
      </c>
      <c r="I1348" s="4">
        <v>0</v>
      </c>
    </row>
    <row r="1349" spans="1:9" x14ac:dyDescent="0.2">
      <c r="A1349" s="2">
        <v>3</v>
      </c>
      <c r="B1349" s="1" t="s">
        <v>157</v>
      </c>
      <c r="C1349" s="4">
        <v>14</v>
      </c>
      <c r="D1349" s="8">
        <v>3.54</v>
      </c>
      <c r="E1349" s="4">
        <v>2</v>
      </c>
      <c r="F1349" s="8">
        <v>0.99</v>
      </c>
      <c r="G1349" s="4">
        <v>12</v>
      </c>
      <c r="H1349" s="8">
        <v>6.35</v>
      </c>
      <c r="I1349" s="4">
        <v>0</v>
      </c>
    </row>
    <row r="1350" spans="1:9" x14ac:dyDescent="0.2">
      <c r="A1350" s="2">
        <v>3</v>
      </c>
      <c r="B1350" s="1" t="s">
        <v>160</v>
      </c>
      <c r="C1350" s="4">
        <v>14</v>
      </c>
      <c r="D1350" s="8">
        <v>3.54</v>
      </c>
      <c r="E1350" s="4">
        <v>9</v>
      </c>
      <c r="F1350" s="8">
        <v>4.43</v>
      </c>
      <c r="G1350" s="4">
        <v>5</v>
      </c>
      <c r="H1350" s="8">
        <v>2.65</v>
      </c>
      <c r="I1350" s="4">
        <v>0</v>
      </c>
    </row>
    <row r="1351" spans="1:9" x14ac:dyDescent="0.2">
      <c r="A1351" s="2">
        <v>3</v>
      </c>
      <c r="B1351" s="1" t="s">
        <v>163</v>
      </c>
      <c r="C1351" s="4">
        <v>14</v>
      </c>
      <c r="D1351" s="8">
        <v>3.54</v>
      </c>
      <c r="E1351" s="4">
        <v>11</v>
      </c>
      <c r="F1351" s="8">
        <v>5.42</v>
      </c>
      <c r="G1351" s="4">
        <v>3</v>
      </c>
      <c r="H1351" s="8">
        <v>1.59</v>
      </c>
      <c r="I1351" s="4">
        <v>0</v>
      </c>
    </row>
    <row r="1352" spans="1:9" x14ac:dyDescent="0.2">
      <c r="A1352" s="2">
        <v>3</v>
      </c>
      <c r="B1352" s="1" t="s">
        <v>176</v>
      </c>
      <c r="C1352" s="4">
        <v>14</v>
      </c>
      <c r="D1352" s="8">
        <v>3.54</v>
      </c>
      <c r="E1352" s="4">
        <v>10</v>
      </c>
      <c r="F1352" s="8">
        <v>4.93</v>
      </c>
      <c r="G1352" s="4">
        <v>4</v>
      </c>
      <c r="H1352" s="8">
        <v>2.12</v>
      </c>
      <c r="I1352" s="4">
        <v>0</v>
      </c>
    </row>
    <row r="1353" spans="1:9" x14ac:dyDescent="0.2">
      <c r="A1353" s="2">
        <v>7</v>
      </c>
      <c r="B1353" s="1" t="s">
        <v>173</v>
      </c>
      <c r="C1353" s="4">
        <v>13</v>
      </c>
      <c r="D1353" s="8">
        <v>3.28</v>
      </c>
      <c r="E1353" s="4">
        <v>13</v>
      </c>
      <c r="F1353" s="8">
        <v>6.4</v>
      </c>
      <c r="G1353" s="4">
        <v>0</v>
      </c>
      <c r="H1353" s="8">
        <v>0</v>
      </c>
      <c r="I1353" s="4">
        <v>0</v>
      </c>
    </row>
    <row r="1354" spans="1:9" x14ac:dyDescent="0.2">
      <c r="A1354" s="2">
        <v>8</v>
      </c>
      <c r="B1354" s="1" t="s">
        <v>158</v>
      </c>
      <c r="C1354" s="4">
        <v>12</v>
      </c>
      <c r="D1354" s="8">
        <v>3.03</v>
      </c>
      <c r="E1354" s="4">
        <v>3</v>
      </c>
      <c r="F1354" s="8">
        <v>1.48</v>
      </c>
      <c r="G1354" s="4">
        <v>9</v>
      </c>
      <c r="H1354" s="8">
        <v>4.76</v>
      </c>
      <c r="I1354" s="4">
        <v>0</v>
      </c>
    </row>
    <row r="1355" spans="1:9" x14ac:dyDescent="0.2">
      <c r="A1355" s="2">
        <v>9</v>
      </c>
      <c r="B1355" s="1" t="s">
        <v>170</v>
      </c>
      <c r="C1355" s="4">
        <v>11</v>
      </c>
      <c r="D1355" s="8">
        <v>2.78</v>
      </c>
      <c r="E1355" s="4">
        <v>11</v>
      </c>
      <c r="F1355" s="8">
        <v>5.42</v>
      </c>
      <c r="G1355" s="4">
        <v>0</v>
      </c>
      <c r="H1355" s="8">
        <v>0</v>
      </c>
      <c r="I1355" s="4">
        <v>0</v>
      </c>
    </row>
    <row r="1356" spans="1:9" x14ac:dyDescent="0.2">
      <c r="A1356" s="2">
        <v>9</v>
      </c>
      <c r="B1356" s="1" t="s">
        <v>172</v>
      </c>
      <c r="C1356" s="4">
        <v>11</v>
      </c>
      <c r="D1356" s="8">
        <v>2.78</v>
      </c>
      <c r="E1356" s="4">
        <v>11</v>
      </c>
      <c r="F1356" s="8">
        <v>5.42</v>
      </c>
      <c r="G1356" s="4">
        <v>0</v>
      </c>
      <c r="H1356" s="8">
        <v>0</v>
      </c>
      <c r="I1356" s="4">
        <v>0</v>
      </c>
    </row>
    <row r="1357" spans="1:9" x14ac:dyDescent="0.2">
      <c r="A1357" s="2">
        <v>11</v>
      </c>
      <c r="B1357" s="1" t="s">
        <v>161</v>
      </c>
      <c r="C1357" s="4">
        <v>9</v>
      </c>
      <c r="D1357" s="8">
        <v>2.27</v>
      </c>
      <c r="E1357" s="4">
        <v>1</v>
      </c>
      <c r="F1357" s="8">
        <v>0.49</v>
      </c>
      <c r="G1357" s="4">
        <v>8</v>
      </c>
      <c r="H1357" s="8">
        <v>4.2300000000000004</v>
      </c>
      <c r="I1357" s="4">
        <v>0</v>
      </c>
    </row>
    <row r="1358" spans="1:9" x14ac:dyDescent="0.2">
      <c r="A1358" s="2">
        <v>11</v>
      </c>
      <c r="B1358" s="1" t="s">
        <v>220</v>
      </c>
      <c r="C1358" s="4">
        <v>9</v>
      </c>
      <c r="D1358" s="8">
        <v>2.27</v>
      </c>
      <c r="E1358" s="4">
        <v>3</v>
      </c>
      <c r="F1358" s="8">
        <v>1.48</v>
      </c>
      <c r="G1358" s="4">
        <v>6</v>
      </c>
      <c r="H1358" s="8">
        <v>3.17</v>
      </c>
      <c r="I1358" s="4">
        <v>0</v>
      </c>
    </row>
    <row r="1359" spans="1:9" x14ac:dyDescent="0.2">
      <c r="A1359" s="2">
        <v>11</v>
      </c>
      <c r="B1359" s="1" t="s">
        <v>169</v>
      </c>
      <c r="C1359" s="4">
        <v>9</v>
      </c>
      <c r="D1359" s="8">
        <v>2.27</v>
      </c>
      <c r="E1359" s="4">
        <v>8</v>
      </c>
      <c r="F1359" s="8">
        <v>3.94</v>
      </c>
      <c r="G1359" s="4">
        <v>1</v>
      </c>
      <c r="H1359" s="8">
        <v>0.53</v>
      </c>
      <c r="I1359" s="4">
        <v>0</v>
      </c>
    </row>
    <row r="1360" spans="1:9" x14ac:dyDescent="0.2">
      <c r="A1360" s="2">
        <v>14</v>
      </c>
      <c r="B1360" s="1" t="s">
        <v>164</v>
      </c>
      <c r="C1360" s="4">
        <v>7</v>
      </c>
      <c r="D1360" s="8">
        <v>1.77</v>
      </c>
      <c r="E1360" s="4">
        <v>5</v>
      </c>
      <c r="F1360" s="8">
        <v>2.46</v>
      </c>
      <c r="G1360" s="4">
        <v>2</v>
      </c>
      <c r="H1360" s="8">
        <v>1.06</v>
      </c>
      <c r="I1360" s="4">
        <v>0</v>
      </c>
    </row>
    <row r="1361" spans="1:9" x14ac:dyDescent="0.2">
      <c r="A1361" s="2">
        <v>15</v>
      </c>
      <c r="B1361" s="1" t="s">
        <v>227</v>
      </c>
      <c r="C1361" s="4">
        <v>6</v>
      </c>
      <c r="D1361" s="8">
        <v>1.52</v>
      </c>
      <c r="E1361" s="4">
        <v>5</v>
      </c>
      <c r="F1361" s="8">
        <v>2.46</v>
      </c>
      <c r="G1361" s="4">
        <v>1</v>
      </c>
      <c r="H1361" s="8">
        <v>0.53</v>
      </c>
      <c r="I1361" s="4">
        <v>0</v>
      </c>
    </row>
    <row r="1362" spans="1:9" x14ac:dyDescent="0.2">
      <c r="A1362" s="2">
        <v>15</v>
      </c>
      <c r="B1362" s="1" t="s">
        <v>232</v>
      </c>
      <c r="C1362" s="4">
        <v>6</v>
      </c>
      <c r="D1362" s="8">
        <v>1.52</v>
      </c>
      <c r="E1362" s="4">
        <v>2</v>
      </c>
      <c r="F1362" s="8">
        <v>0.99</v>
      </c>
      <c r="G1362" s="4">
        <v>4</v>
      </c>
      <c r="H1362" s="8">
        <v>2.12</v>
      </c>
      <c r="I1362" s="4">
        <v>0</v>
      </c>
    </row>
    <row r="1363" spans="1:9" x14ac:dyDescent="0.2">
      <c r="A1363" s="2">
        <v>15</v>
      </c>
      <c r="B1363" s="1" t="s">
        <v>184</v>
      </c>
      <c r="C1363" s="4">
        <v>6</v>
      </c>
      <c r="D1363" s="8">
        <v>1.52</v>
      </c>
      <c r="E1363" s="4">
        <v>0</v>
      </c>
      <c r="F1363" s="8">
        <v>0</v>
      </c>
      <c r="G1363" s="4">
        <v>6</v>
      </c>
      <c r="H1363" s="8">
        <v>3.17</v>
      </c>
      <c r="I1363" s="4">
        <v>0</v>
      </c>
    </row>
    <row r="1364" spans="1:9" x14ac:dyDescent="0.2">
      <c r="A1364" s="2">
        <v>15</v>
      </c>
      <c r="B1364" s="1" t="s">
        <v>224</v>
      </c>
      <c r="C1364" s="4">
        <v>6</v>
      </c>
      <c r="D1364" s="8">
        <v>1.52</v>
      </c>
      <c r="E1364" s="4">
        <v>6</v>
      </c>
      <c r="F1364" s="8">
        <v>2.96</v>
      </c>
      <c r="G1364" s="4">
        <v>0</v>
      </c>
      <c r="H1364" s="8">
        <v>0</v>
      </c>
      <c r="I1364" s="4">
        <v>0</v>
      </c>
    </row>
    <row r="1365" spans="1:9" x14ac:dyDescent="0.2">
      <c r="A1365" s="2">
        <v>15</v>
      </c>
      <c r="B1365" s="1" t="s">
        <v>207</v>
      </c>
      <c r="C1365" s="4">
        <v>6</v>
      </c>
      <c r="D1365" s="8">
        <v>1.52</v>
      </c>
      <c r="E1365" s="4">
        <v>2</v>
      </c>
      <c r="F1365" s="8">
        <v>0.99</v>
      </c>
      <c r="G1365" s="4">
        <v>4</v>
      </c>
      <c r="H1365" s="8">
        <v>2.12</v>
      </c>
      <c r="I1365" s="4">
        <v>0</v>
      </c>
    </row>
    <row r="1366" spans="1:9" x14ac:dyDescent="0.2">
      <c r="A1366" s="2">
        <v>15</v>
      </c>
      <c r="B1366" s="1" t="s">
        <v>206</v>
      </c>
      <c r="C1366" s="4">
        <v>6</v>
      </c>
      <c r="D1366" s="8">
        <v>1.52</v>
      </c>
      <c r="E1366" s="4">
        <v>4</v>
      </c>
      <c r="F1366" s="8">
        <v>1.97</v>
      </c>
      <c r="G1366" s="4">
        <v>2</v>
      </c>
      <c r="H1366" s="8">
        <v>1.06</v>
      </c>
      <c r="I1366" s="4">
        <v>0</v>
      </c>
    </row>
    <row r="1367" spans="1:9" x14ac:dyDescent="0.2">
      <c r="A1367" s="2">
        <v>15</v>
      </c>
      <c r="B1367" s="1" t="s">
        <v>174</v>
      </c>
      <c r="C1367" s="4">
        <v>6</v>
      </c>
      <c r="D1367" s="8">
        <v>1.52</v>
      </c>
      <c r="E1367" s="4">
        <v>5</v>
      </c>
      <c r="F1367" s="8">
        <v>2.46</v>
      </c>
      <c r="G1367" s="4">
        <v>0</v>
      </c>
      <c r="H1367" s="8">
        <v>0</v>
      </c>
      <c r="I1367" s="4">
        <v>1</v>
      </c>
    </row>
    <row r="1368" spans="1:9" x14ac:dyDescent="0.2">
      <c r="A1368" s="1"/>
      <c r="C1368" s="4"/>
      <c r="D1368" s="8"/>
      <c r="E1368" s="4"/>
      <c r="F1368" s="8"/>
      <c r="G1368" s="4"/>
      <c r="H1368" s="8"/>
      <c r="I1368" s="4"/>
    </row>
    <row r="1369" spans="1:9" x14ac:dyDescent="0.2">
      <c r="A1369" s="1" t="s">
        <v>60</v>
      </c>
      <c r="C1369" s="4"/>
      <c r="D1369" s="8"/>
      <c r="E1369" s="4"/>
      <c r="F1369" s="8"/>
      <c r="G1369" s="4"/>
      <c r="H1369" s="8"/>
      <c r="I1369" s="4"/>
    </row>
    <row r="1370" spans="1:9" x14ac:dyDescent="0.2">
      <c r="A1370" s="2">
        <v>1</v>
      </c>
      <c r="B1370" s="1" t="s">
        <v>173</v>
      </c>
      <c r="C1370" s="4">
        <v>14</v>
      </c>
      <c r="D1370" s="8">
        <v>5.2</v>
      </c>
      <c r="E1370" s="4">
        <v>13</v>
      </c>
      <c r="F1370" s="8">
        <v>9.2899999999999991</v>
      </c>
      <c r="G1370" s="4">
        <v>1</v>
      </c>
      <c r="H1370" s="8">
        <v>0.79</v>
      </c>
      <c r="I1370" s="4">
        <v>0</v>
      </c>
    </row>
    <row r="1371" spans="1:9" x14ac:dyDescent="0.2">
      <c r="A1371" s="2">
        <v>2</v>
      </c>
      <c r="B1371" s="1" t="s">
        <v>174</v>
      </c>
      <c r="C1371" s="4">
        <v>12</v>
      </c>
      <c r="D1371" s="8">
        <v>4.46</v>
      </c>
      <c r="E1371" s="4">
        <v>12</v>
      </c>
      <c r="F1371" s="8">
        <v>8.57</v>
      </c>
      <c r="G1371" s="4">
        <v>0</v>
      </c>
      <c r="H1371" s="8">
        <v>0</v>
      </c>
      <c r="I1371" s="4">
        <v>0</v>
      </c>
    </row>
    <row r="1372" spans="1:9" x14ac:dyDescent="0.2">
      <c r="A1372" s="2">
        <v>3</v>
      </c>
      <c r="B1372" s="1" t="s">
        <v>157</v>
      </c>
      <c r="C1372" s="4">
        <v>9</v>
      </c>
      <c r="D1372" s="8">
        <v>3.35</v>
      </c>
      <c r="E1372" s="4">
        <v>2</v>
      </c>
      <c r="F1372" s="8">
        <v>1.43</v>
      </c>
      <c r="G1372" s="4">
        <v>7</v>
      </c>
      <c r="H1372" s="8">
        <v>5.51</v>
      </c>
      <c r="I1372" s="4">
        <v>0</v>
      </c>
    </row>
    <row r="1373" spans="1:9" x14ac:dyDescent="0.2">
      <c r="A1373" s="2">
        <v>4</v>
      </c>
      <c r="B1373" s="1" t="s">
        <v>177</v>
      </c>
      <c r="C1373" s="4">
        <v>8</v>
      </c>
      <c r="D1373" s="8">
        <v>2.97</v>
      </c>
      <c r="E1373" s="4">
        <v>3</v>
      </c>
      <c r="F1373" s="8">
        <v>2.14</v>
      </c>
      <c r="G1373" s="4">
        <v>5</v>
      </c>
      <c r="H1373" s="8">
        <v>3.94</v>
      </c>
      <c r="I1373" s="4">
        <v>0</v>
      </c>
    </row>
    <row r="1374" spans="1:9" x14ac:dyDescent="0.2">
      <c r="A1374" s="2">
        <v>4</v>
      </c>
      <c r="B1374" s="1" t="s">
        <v>161</v>
      </c>
      <c r="C1374" s="4">
        <v>8</v>
      </c>
      <c r="D1374" s="8">
        <v>2.97</v>
      </c>
      <c r="E1374" s="4">
        <v>2</v>
      </c>
      <c r="F1374" s="8">
        <v>1.43</v>
      </c>
      <c r="G1374" s="4">
        <v>6</v>
      </c>
      <c r="H1374" s="8">
        <v>4.72</v>
      </c>
      <c r="I1374" s="4">
        <v>0</v>
      </c>
    </row>
    <row r="1375" spans="1:9" x14ac:dyDescent="0.2">
      <c r="A1375" s="2">
        <v>6</v>
      </c>
      <c r="B1375" s="1" t="s">
        <v>159</v>
      </c>
      <c r="C1375" s="4">
        <v>7</v>
      </c>
      <c r="D1375" s="8">
        <v>2.6</v>
      </c>
      <c r="E1375" s="4">
        <v>4</v>
      </c>
      <c r="F1375" s="8">
        <v>2.86</v>
      </c>
      <c r="G1375" s="4">
        <v>3</v>
      </c>
      <c r="H1375" s="8">
        <v>2.36</v>
      </c>
      <c r="I1375" s="4">
        <v>0</v>
      </c>
    </row>
    <row r="1376" spans="1:9" x14ac:dyDescent="0.2">
      <c r="A1376" s="2">
        <v>7</v>
      </c>
      <c r="B1376" s="1" t="s">
        <v>200</v>
      </c>
      <c r="C1376" s="4">
        <v>6</v>
      </c>
      <c r="D1376" s="8">
        <v>2.23</v>
      </c>
      <c r="E1376" s="4">
        <v>5</v>
      </c>
      <c r="F1376" s="8">
        <v>3.57</v>
      </c>
      <c r="G1376" s="4">
        <v>1</v>
      </c>
      <c r="H1376" s="8">
        <v>0.79</v>
      </c>
      <c r="I1376" s="4">
        <v>0</v>
      </c>
    </row>
    <row r="1377" spans="1:9" x14ac:dyDescent="0.2">
      <c r="A1377" s="2">
        <v>7</v>
      </c>
      <c r="B1377" s="1" t="s">
        <v>169</v>
      </c>
      <c r="C1377" s="4">
        <v>6</v>
      </c>
      <c r="D1377" s="8">
        <v>2.23</v>
      </c>
      <c r="E1377" s="4">
        <v>5</v>
      </c>
      <c r="F1377" s="8">
        <v>3.57</v>
      </c>
      <c r="G1377" s="4">
        <v>1</v>
      </c>
      <c r="H1377" s="8">
        <v>0.79</v>
      </c>
      <c r="I1377" s="4">
        <v>0</v>
      </c>
    </row>
    <row r="1378" spans="1:9" x14ac:dyDescent="0.2">
      <c r="A1378" s="2">
        <v>7</v>
      </c>
      <c r="B1378" s="1" t="s">
        <v>172</v>
      </c>
      <c r="C1378" s="4">
        <v>6</v>
      </c>
      <c r="D1378" s="8">
        <v>2.23</v>
      </c>
      <c r="E1378" s="4">
        <v>6</v>
      </c>
      <c r="F1378" s="8">
        <v>4.29</v>
      </c>
      <c r="G1378" s="4">
        <v>0</v>
      </c>
      <c r="H1378" s="8">
        <v>0</v>
      </c>
      <c r="I1378" s="4">
        <v>0</v>
      </c>
    </row>
    <row r="1379" spans="1:9" x14ac:dyDescent="0.2">
      <c r="A1379" s="2">
        <v>10</v>
      </c>
      <c r="B1379" s="1" t="s">
        <v>180</v>
      </c>
      <c r="C1379" s="4">
        <v>5</v>
      </c>
      <c r="D1379" s="8">
        <v>1.86</v>
      </c>
      <c r="E1379" s="4">
        <v>1</v>
      </c>
      <c r="F1379" s="8">
        <v>0.71</v>
      </c>
      <c r="G1379" s="4">
        <v>4</v>
      </c>
      <c r="H1379" s="8">
        <v>3.15</v>
      </c>
      <c r="I1379" s="4">
        <v>0</v>
      </c>
    </row>
    <row r="1380" spans="1:9" x14ac:dyDescent="0.2">
      <c r="A1380" s="2">
        <v>10</v>
      </c>
      <c r="B1380" s="1" t="s">
        <v>164</v>
      </c>
      <c r="C1380" s="4">
        <v>5</v>
      </c>
      <c r="D1380" s="8">
        <v>1.86</v>
      </c>
      <c r="E1380" s="4">
        <v>3</v>
      </c>
      <c r="F1380" s="8">
        <v>2.14</v>
      </c>
      <c r="G1380" s="4">
        <v>2</v>
      </c>
      <c r="H1380" s="8">
        <v>1.57</v>
      </c>
      <c r="I1380" s="4">
        <v>0</v>
      </c>
    </row>
    <row r="1381" spans="1:9" x14ac:dyDescent="0.2">
      <c r="A1381" s="2">
        <v>10</v>
      </c>
      <c r="B1381" s="1" t="s">
        <v>233</v>
      </c>
      <c r="C1381" s="4">
        <v>5</v>
      </c>
      <c r="D1381" s="8">
        <v>1.86</v>
      </c>
      <c r="E1381" s="4">
        <v>5</v>
      </c>
      <c r="F1381" s="8">
        <v>3.57</v>
      </c>
      <c r="G1381" s="4">
        <v>0</v>
      </c>
      <c r="H1381" s="8">
        <v>0</v>
      </c>
      <c r="I1381" s="4">
        <v>0</v>
      </c>
    </row>
    <row r="1382" spans="1:9" x14ac:dyDescent="0.2">
      <c r="A1382" s="2">
        <v>13</v>
      </c>
      <c r="B1382" s="1" t="s">
        <v>158</v>
      </c>
      <c r="C1382" s="4">
        <v>4</v>
      </c>
      <c r="D1382" s="8">
        <v>1.49</v>
      </c>
      <c r="E1382" s="4">
        <v>3</v>
      </c>
      <c r="F1382" s="8">
        <v>2.14</v>
      </c>
      <c r="G1382" s="4">
        <v>1</v>
      </c>
      <c r="H1382" s="8">
        <v>0.79</v>
      </c>
      <c r="I1382" s="4">
        <v>0</v>
      </c>
    </row>
    <row r="1383" spans="1:9" x14ac:dyDescent="0.2">
      <c r="A1383" s="2">
        <v>13</v>
      </c>
      <c r="B1383" s="1" t="s">
        <v>197</v>
      </c>
      <c r="C1383" s="4">
        <v>4</v>
      </c>
      <c r="D1383" s="8">
        <v>1.49</v>
      </c>
      <c r="E1383" s="4">
        <v>3</v>
      </c>
      <c r="F1383" s="8">
        <v>2.14</v>
      </c>
      <c r="G1383" s="4">
        <v>1</v>
      </c>
      <c r="H1383" s="8">
        <v>0.79</v>
      </c>
      <c r="I1383" s="4">
        <v>0</v>
      </c>
    </row>
    <row r="1384" spans="1:9" x14ac:dyDescent="0.2">
      <c r="A1384" s="2">
        <v>13</v>
      </c>
      <c r="B1384" s="1" t="s">
        <v>160</v>
      </c>
      <c r="C1384" s="4">
        <v>4</v>
      </c>
      <c r="D1384" s="8">
        <v>1.49</v>
      </c>
      <c r="E1384" s="4">
        <v>1</v>
      </c>
      <c r="F1384" s="8">
        <v>0.71</v>
      </c>
      <c r="G1384" s="4">
        <v>3</v>
      </c>
      <c r="H1384" s="8">
        <v>2.36</v>
      </c>
      <c r="I1384" s="4">
        <v>0</v>
      </c>
    </row>
    <row r="1385" spans="1:9" x14ac:dyDescent="0.2">
      <c r="A1385" s="2">
        <v>13</v>
      </c>
      <c r="B1385" s="1" t="s">
        <v>220</v>
      </c>
      <c r="C1385" s="4">
        <v>4</v>
      </c>
      <c r="D1385" s="8">
        <v>1.49</v>
      </c>
      <c r="E1385" s="4">
        <v>1</v>
      </c>
      <c r="F1385" s="8">
        <v>0.71</v>
      </c>
      <c r="G1385" s="4">
        <v>3</v>
      </c>
      <c r="H1385" s="8">
        <v>2.36</v>
      </c>
      <c r="I1385" s="4">
        <v>0</v>
      </c>
    </row>
    <row r="1386" spans="1:9" x14ac:dyDescent="0.2">
      <c r="A1386" s="2">
        <v>13</v>
      </c>
      <c r="B1386" s="1" t="s">
        <v>199</v>
      </c>
      <c r="C1386" s="4">
        <v>4</v>
      </c>
      <c r="D1386" s="8">
        <v>1.49</v>
      </c>
      <c r="E1386" s="4">
        <v>0</v>
      </c>
      <c r="F1386" s="8">
        <v>0</v>
      </c>
      <c r="G1386" s="4">
        <v>4</v>
      </c>
      <c r="H1386" s="8">
        <v>3.15</v>
      </c>
      <c r="I1386" s="4">
        <v>0</v>
      </c>
    </row>
    <row r="1387" spans="1:9" x14ac:dyDescent="0.2">
      <c r="A1387" s="2">
        <v>13</v>
      </c>
      <c r="B1387" s="1" t="s">
        <v>185</v>
      </c>
      <c r="C1387" s="4">
        <v>4</v>
      </c>
      <c r="D1387" s="8">
        <v>1.49</v>
      </c>
      <c r="E1387" s="4">
        <v>0</v>
      </c>
      <c r="F1387" s="8">
        <v>0</v>
      </c>
      <c r="G1387" s="4">
        <v>4</v>
      </c>
      <c r="H1387" s="8">
        <v>3.15</v>
      </c>
      <c r="I1387" s="4">
        <v>0</v>
      </c>
    </row>
    <row r="1388" spans="1:9" x14ac:dyDescent="0.2">
      <c r="A1388" s="2">
        <v>13</v>
      </c>
      <c r="B1388" s="1" t="s">
        <v>178</v>
      </c>
      <c r="C1388" s="4">
        <v>4</v>
      </c>
      <c r="D1388" s="8">
        <v>1.49</v>
      </c>
      <c r="E1388" s="4">
        <v>1</v>
      </c>
      <c r="F1388" s="8">
        <v>0.71</v>
      </c>
      <c r="G1388" s="4">
        <v>3</v>
      </c>
      <c r="H1388" s="8">
        <v>2.36</v>
      </c>
      <c r="I1388" s="4">
        <v>0</v>
      </c>
    </row>
    <row r="1389" spans="1:9" x14ac:dyDescent="0.2">
      <c r="A1389" s="2">
        <v>13</v>
      </c>
      <c r="B1389" s="1" t="s">
        <v>170</v>
      </c>
      <c r="C1389" s="4">
        <v>4</v>
      </c>
      <c r="D1389" s="8">
        <v>1.49</v>
      </c>
      <c r="E1389" s="4">
        <v>3</v>
      </c>
      <c r="F1389" s="8">
        <v>2.14</v>
      </c>
      <c r="G1389" s="4">
        <v>1</v>
      </c>
      <c r="H1389" s="8">
        <v>0.79</v>
      </c>
      <c r="I1389" s="4">
        <v>0</v>
      </c>
    </row>
    <row r="1390" spans="1:9" x14ac:dyDescent="0.2">
      <c r="A1390" s="2">
        <v>13</v>
      </c>
      <c r="B1390" s="1" t="s">
        <v>179</v>
      </c>
      <c r="C1390" s="4">
        <v>4</v>
      </c>
      <c r="D1390" s="8">
        <v>1.49</v>
      </c>
      <c r="E1390" s="4">
        <v>4</v>
      </c>
      <c r="F1390" s="8">
        <v>2.86</v>
      </c>
      <c r="G1390" s="4">
        <v>0</v>
      </c>
      <c r="H1390" s="8">
        <v>0</v>
      </c>
      <c r="I1390" s="4">
        <v>0</v>
      </c>
    </row>
    <row r="1391" spans="1:9" x14ac:dyDescent="0.2">
      <c r="A1391" s="2">
        <v>13</v>
      </c>
      <c r="B1391" s="1" t="s">
        <v>175</v>
      </c>
      <c r="C1391" s="4">
        <v>4</v>
      </c>
      <c r="D1391" s="8">
        <v>1.49</v>
      </c>
      <c r="E1391" s="4">
        <v>4</v>
      </c>
      <c r="F1391" s="8">
        <v>2.86</v>
      </c>
      <c r="G1391" s="4">
        <v>0</v>
      </c>
      <c r="H1391" s="8">
        <v>0</v>
      </c>
      <c r="I1391" s="4">
        <v>0</v>
      </c>
    </row>
    <row r="1392" spans="1:9" x14ac:dyDescent="0.2">
      <c r="A1392" s="2">
        <v>13</v>
      </c>
      <c r="B1392" s="1" t="s">
        <v>176</v>
      </c>
      <c r="C1392" s="4">
        <v>4</v>
      </c>
      <c r="D1392" s="8">
        <v>1.49</v>
      </c>
      <c r="E1392" s="4">
        <v>4</v>
      </c>
      <c r="F1392" s="8">
        <v>2.86</v>
      </c>
      <c r="G1392" s="4">
        <v>0</v>
      </c>
      <c r="H1392" s="8">
        <v>0</v>
      </c>
      <c r="I1392" s="4">
        <v>0</v>
      </c>
    </row>
    <row r="1393" spans="1:9" x14ac:dyDescent="0.2">
      <c r="A1393" s="1"/>
      <c r="C1393" s="4"/>
      <c r="D1393" s="8"/>
      <c r="E1393" s="4"/>
      <c r="F1393" s="8"/>
      <c r="G1393" s="4"/>
      <c r="H1393" s="8"/>
      <c r="I1393" s="4"/>
    </row>
    <row r="1394" spans="1:9" x14ac:dyDescent="0.2">
      <c r="A1394" s="1" t="s">
        <v>61</v>
      </c>
      <c r="C1394" s="4"/>
      <c r="D1394" s="8"/>
      <c r="E1394" s="4"/>
      <c r="F1394" s="8"/>
      <c r="G1394" s="4"/>
      <c r="H1394" s="8"/>
      <c r="I1394" s="4"/>
    </row>
    <row r="1395" spans="1:9" x14ac:dyDescent="0.2">
      <c r="A1395" s="2">
        <v>1</v>
      </c>
      <c r="B1395" s="1" t="s">
        <v>223</v>
      </c>
      <c r="C1395" s="4">
        <v>38</v>
      </c>
      <c r="D1395" s="8">
        <v>10.86</v>
      </c>
      <c r="E1395" s="4">
        <v>22</v>
      </c>
      <c r="F1395" s="8">
        <v>11.28</v>
      </c>
      <c r="G1395" s="4">
        <v>16</v>
      </c>
      <c r="H1395" s="8">
        <v>10.74</v>
      </c>
      <c r="I1395" s="4">
        <v>0</v>
      </c>
    </row>
    <row r="1396" spans="1:9" x14ac:dyDescent="0.2">
      <c r="A1396" s="2">
        <v>2</v>
      </c>
      <c r="B1396" s="1" t="s">
        <v>159</v>
      </c>
      <c r="C1396" s="4">
        <v>15</v>
      </c>
      <c r="D1396" s="8">
        <v>4.29</v>
      </c>
      <c r="E1396" s="4">
        <v>6</v>
      </c>
      <c r="F1396" s="8">
        <v>3.08</v>
      </c>
      <c r="G1396" s="4">
        <v>9</v>
      </c>
      <c r="H1396" s="8">
        <v>6.04</v>
      </c>
      <c r="I1396" s="4">
        <v>0</v>
      </c>
    </row>
    <row r="1397" spans="1:9" x14ac:dyDescent="0.2">
      <c r="A1397" s="2">
        <v>3</v>
      </c>
      <c r="B1397" s="1" t="s">
        <v>200</v>
      </c>
      <c r="C1397" s="4">
        <v>9</v>
      </c>
      <c r="D1397" s="8">
        <v>2.57</v>
      </c>
      <c r="E1397" s="4">
        <v>5</v>
      </c>
      <c r="F1397" s="8">
        <v>2.56</v>
      </c>
      <c r="G1397" s="4">
        <v>4</v>
      </c>
      <c r="H1397" s="8">
        <v>2.68</v>
      </c>
      <c r="I1397" s="4">
        <v>0</v>
      </c>
    </row>
    <row r="1398" spans="1:9" x14ac:dyDescent="0.2">
      <c r="A1398" s="2">
        <v>3</v>
      </c>
      <c r="B1398" s="1" t="s">
        <v>169</v>
      </c>
      <c r="C1398" s="4">
        <v>9</v>
      </c>
      <c r="D1398" s="8">
        <v>2.57</v>
      </c>
      <c r="E1398" s="4">
        <v>7</v>
      </c>
      <c r="F1398" s="8">
        <v>3.59</v>
      </c>
      <c r="G1398" s="4">
        <v>2</v>
      </c>
      <c r="H1398" s="8">
        <v>1.34</v>
      </c>
      <c r="I1398" s="4">
        <v>0</v>
      </c>
    </row>
    <row r="1399" spans="1:9" x14ac:dyDescent="0.2">
      <c r="A1399" s="2">
        <v>3</v>
      </c>
      <c r="B1399" s="1" t="s">
        <v>206</v>
      </c>
      <c r="C1399" s="4">
        <v>9</v>
      </c>
      <c r="D1399" s="8">
        <v>2.57</v>
      </c>
      <c r="E1399" s="4">
        <v>9</v>
      </c>
      <c r="F1399" s="8">
        <v>4.62</v>
      </c>
      <c r="G1399" s="4">
        <v>0</v>
      </c>
      <c r="H1399" s="8">
        <v>0</v>
      </c>
      <c r="I1399" s="4">
        <v>0</v>
      </c>
    </row>
    <row r="1400" spans="1:9" x14ac:dyDescent="0.2">
      <c r="A1400" s="2">
        <v>3</v>
      </c>
      <c r="B1400" s="1" t="s">
        <v>172</v>
      </c>
      <c r="C1400" s="4">
        <v>9</v>
      </c>
      <c r="D1400" s="8">
        <v>2.57</v>
      </c>
      <c r="E1400" s="4">
        <v>9</v>
      </c>
      <c r="F1400" s="8">
        <v>4.62</v>
      </c>
      <c r="G1400" s="4">
        <v>0</v>
      </c>
      <c r="H1400" s="8">
        <v>0</v>
      </c>
      <c r="I1400" s="4">
        <v>0</v>
      </c>
    </row>
    <row r="1401" spans="1:9" x14ac:dyDescent="0.2">
      <c r="A1401" s="2">
        <v>7</v>
      </c>
      <c r="B1401" s="1" t="s">
        <v>157</v>
      </c>
      <c r="C1401" s="4">
        <v>8</v>
      </c>
      <c r="D1401" s="8">
        <v>2.29</v>
      </c>
      <c r="E1401" s="4">
        <v>1</v>
      </c>
      <c r="F1401" s="8">
        <v>0.51</v>
      </c>
      <c r="G1401" s="4">
        <v>7</v>
      </c>
      <c r="H1401" s="8">
        <v>4.7</v>
      </c>
      <c r="I1401" s="4">
        <v>0</v>
      </c>
    </row>
    <row r="1402" spans="1:9" x14ac:dyDescent="0.2">
      <c r="A1402" s="2">
        <v>7</v>
      </c>
      <c r="B1402" s="1" t="s">
        <v>188</v>
      </c>
      <c r="C1402" s="4">
        <v>8</v>
      </c>
      <c r="D1402" s="8">
        <v>2.29</v>
      </c>
      <c r="E1402" s="4">
        <v>8</v>
      </c>
      <c r="F1402" s="8">
        <v>4.0999999999999996</v>
      </c>
      <c r="G1402" s="4">
        <v>0</v>
      </c>
      <c r="H1402" s="8">
        <v>0</v>
      </c>
      <c r="I1402" s="4">
        <v>0</v>
      </c>
    </row>
    <row r="1403" spans="1:9" x14ac:dyDescent="0.2">
      <c r="A1403" s="2">
        <v>7</v>
      </c>
      <c r="B1403" s="1" t="s">
        <v>163</v>
      </c>
      <c r="C1403" s="4">
        <v>8</v>
      </c>
      <c r="D1403" s="8">
        <v>2.29</v>
      </c>
      <c r="E1403" s="4">
        <v>5</v>
      </c>
      <c r="F1403" s="8">
        <v>2.56</v>
      </c>
      <c r="G1403" s="4">
        <v>3</v>
      </c>
      <c r="H1403" s="8">
        <v>2.0099999999999998</v>
      </c>
      <c r="I1403" s="4">
        <v>0</v>
      </c>
    </row>
    <row r="1404" spans="1:9" x14ac:dyDescent="0.2">
      <c r="A1404" s="2">
        <v>7</v>
      </c>
      <c r="B1404" s="1" t="s">
        <v>176</v>
      </c>
      <c r="C1404" s="4">
        <v>8</v>
      </c>
      <c r="D1404" s="8">
        <v>2.29</v>
      </c>
      <c r="E1404" s="4">
        <v>6</v>
      </c>
      <c r="F1404" s="8">
        <v>3.08</v>
      </c>
      <c r="G1404" s="4">
        <v>2</v>
      </c>
      <c r="H1404" s="8">
        <v>1.34</v>
      </c>
      <c r="I1404" s="4">
        <v>0</v>
      </c>
    </row>
    <row r="1405" spans="1:9" x14ac:dyDescent="0.2">
      <c r="A1405" s="2">
        <v>11</v>
      </c>
      <c r="B1405" s="1" t="s">
        <v>158</v>
      </c>
      <c r="C1405" s="4">
        <v>7</v>
      </c>
      <c r="D1405" s="8">
        <v>2</v>
      </c>
      <c r="E1405" s="4">
        <v>3</v>
      </c>
      <c r="F1405" s="8">
        <v>1.54</v>
      </c>
      <c r="G1405" s="4">
        <v>4</v>
      </c>
      <c r="H1405" s="8">
        <v>2.68</v>
      </c>
      <c r="I1405" s="4">
        <v>0</v>
      </c>
    </row>
    <row r="1406" spans="1:9" x14ac:dyDescent="0.2">
      <c r="A1406" s="2">
        <v>11</v>
      </c>
      <c r="B1406" s="1" t="s">
        <v>162</v>
      </c>
      <c r="C1406" s="4">
        <v>7</v>
      </c>
      <c r="D1406" s="8">
        <v>2</v>
      </c>
      <c r="E1406" s="4">
        <v>5</v>
      </c>
      <c r="F1406" s="8">
        <v>2.56</v>
      </c>
      <c r="G1406" s="4">
        <v>2</v>
      </c>
      <c r="H1406" s="8">
        <v>1.34</v>
      </c>
      <c r="I1406" s="4">
        <v>0</v>
      </c>
    </row>
    <row r="1407" spans="1:9" x14ac:dyDescent="0.2">
      <c r="A1407" s="2">
        <v>11</v>
      </c>
      <c r="B1407" s="1" t="s">
        <v>192</v>
      </c>
      <c r="C1407" s="4">
        <v>7</v>
      </c>
      <c r="D1407" s="8">
        <v>2</v>
      </c>
      <c r="E1407" s="4">
        <v>7</v>
      </c>
      <c r="F1407" s="8">
        <v>3.59</v>
      </c>
      <c r="G1407" s="4">
        <v>0</v>
      </c>
      <c r="H1407" s="8">
        <v>0</v>
      </c>
      <c r="I1407" s="4">
        <v>0</v>
      </c>
    </row>
    <row r="1408" spans="1:9" x14ac:dyDescent="0.2">
      <c r="A1408" s="2">
        <v>14</v>
      </c>
      <c r="B1408" s="1" t="s">
        <v>216</v>
      </c>
      <c r="C1408" s="4">
        <v>6</v>
      </c>
      <c r="D1408" s="8">
        <v>1.71</v>
      </c>
      <c r="E1408" s="4">
        <v>4</v>
      </c>
      <c r="F1408" s="8">
        <v>2.0499999999999998</v>
      </c>
      <c r="G1408" s="4">
        <v>2</v>
      </c>
      <c r="H1408" s="8">
        <v>1.34</v>
      </c>
      <c r="I1408" s="4">
        <v>0</v>
      </c>
    </row>
    <row r="1409" spans="1:9" x14ac:dyDescent="0.2">
      <c r="A1409" s="2">
        <v>15</v>
      </c>
      <c r="B1409" s="1" t="s">
        <v>180</v>
      </c>
      <c r="C1409" s="4">
        <v>5</v>
      </c>
      <c r="D1409" s="8">
        <v>1.43</v>
      </c>
      <c r="E1409" s="4">
        <v>2</v>
      </c>
      <c r="F1409" s="8">
        <v>1.03</v>
      </c>
      <c r="G1409" s="4">
        <v>3</v>
      </c>
      <c r="H1409" s="8">
        <v>2.0099999999999998</v>
      </c>
      <c r="I1409" s="4">
        <v>0</v>
      </c>
    </row>
    <row r="1410" spans="1:9" x14ac:dyDescent="0.2">
      <c r="A1410" s="2">
        <v>15</v>
      </c>
      <c r="B1410" s="1" t="s">
        <v>234</v>
      </c>
      <c r="C1410" s="4">
        <v>5</v>
      </c>
      <c r="D1410" s="8">
        <v>1.43</v>
      </c>
      <c r="E1410" s="4">
        <v>1</v>
      </c>
      <c r="F1410" s="8">
        <v>0.51</v>
      </c>
      <c r="G1410" s="4">
        <v>4</v>
      </c>
      <c r="H1410" s="8">
        <v>2.68</v>
      </c>
      <c r="I1410" s="4">
        <v>0</v>
      </c>
    </row>
    <row r="1411" spans="1:9" x14ac:dyDescent="0.2">
      <c r="A1411" s="2">
        <v>15</v>
      </c>
      <c r="B1411" s="1" t="s">
        <v>220</v>
      </c>
      <c r="C1411" s="4">
        <v>5</v>
      </c>
      <c r="D1411" s="8">
        <v>1.43</v>
      </c>
      <c r="E1411" s="4">
        <v>3</v>
      </c>
      <c r="F1411" s="8">
        <v>1.54</v>
      </c>
      <c r="G1411" s="4">
        <v>2</v>
      </c>
      <c r="H1411" s="8">
        <v>1.34</v>
      </c>
      <c r="I1411" s="4">
        <v>0</v>
      </c>
    </row>
    <row r="1412" spans="1:9" x14ac:dyDescent="0.2">
      <c r="A1412" s="2">
        <v>15</v>
      </c>
      <c r="B1412" s="1" t="s">
        <v>185</v>
      </c>
      <c r="C1412" s="4">
        <v>5</v>
      </c>
      <c r="D1412" s="8">
        <v>1.43</v>
      </c>
      <c r="E1412" s="4">
        <v>1</v>
      </c>
      <c r="F1412" s="8">
        <v>0.51</v>
      </c>
      <c r="G1412" s="4">
        <v>4</v>
      </c>
      <c r="H1412" s="8">
        <v>2.68</v>
      </c>
      <c r="I1412" s="4">
        <v>0</v>
      </c>
    </row>
    <row r="1413" spans="1:9" x14ac:dyDescent="0.2">
      <c r="A1413" s="2">
        <v>15</v>
      </c>
      <c r="B1413" s="1" t="s">
        <v>207</v>
      </c>
      <c r="C1413" s="4">
        <v>5</v>
      </c>
      <c r="D1413" s="8">
        <v>1.43</v>
      </c>
      <c r="E1413" s="4">
        <v>4</v>
      </c>
      <c r="F1413" s="8">
        <v>2.0499999999999998</v>
      </c>
      <c r="G1413" s="4">
        <v>1</v>
      </c>
      <c r="H1413" s="8">
        <v>0.67</v>
      </c>
      <c r="I1413" s="4">
        <v>0</v>
      </c>
    </row>
    <row r="1414" spans="1:9" x14ac:dyDescent="0.2">
      <c r="A1414" s="2">
        <v>15</v>
      </c>
      <c r="B1414" s="1" t="s">
        <v>167</v>
      </c>
      <c r="C1414" s="4">
        <v>5</v>
      </c>
      <c r="D1414" s="8">
        <v>1.43</v>
      </c>
      <c r="E1414" s="4">
        <v>0</v>
      </c>
      <c r="F1414" s="8">
        <v>0</v>
      </c>
      <c r="G1414" s="4">
        <v>5</v>
      </c>
      <c r="H1414" s="8">
        <v>3.36</v>
      </c>
      <c r="I1414" s="4">
        <v>0</v>
      </c>
    </row>
    <row r="1415" spans="1:9" x14ac:dyDescent="0.2">
      <c r="A1415" s="2">
        <v>15</v>
      </c>
      <c r="B1415" s="1" t="s">
        <v>170</v>
      </c>
      <c r="C1415" s="4">
        <v>5</v>
      </c>
      <c r="D1415" s="8">
        <v>1.43</v>
      </c>
      <c r="E1415" s="4">
        <v>5</v>
      </c>
      <c r="F1415" s="8">
        <v>2.56</v>
      </c>
      <c r="G1415" s="4">
        <v>0</v>
      </c>
      <c r="H1415" s="8">
        <v>0</v>
      </c>
      <c r="I1415" s="4">
        <v>0</v>
      </c>
    </row>
    <row r="1416" spans="1:9" x14ac:dyDescent="0.2">
      <c r="A1416" s="2">
        <v>15</v>
      </c>
      <c r="B1416" s="1" t="s">
        <v>173</v>
      </c>
      <c r="C1416" s="4">
        <v>5</v>
      </c>
      <c r="D1416" s="8">
        <v>1.43</v>
      </c>
      <c r="E1416" s="4">
        <v>4</v>
      </c>
      <c r="F1416" s="8">
        <v>2.0499999999999998</v>
      </c>
      <c r="G1416" s="4">
        <v>1</v>
      </c>
      <c r="H1416" s="8">
        <v>0.67</v>
      </c>
      <c r="I1416" s="4">
        <v>0</v>
      </c>
    </row>
    <row r="1417" spans="1:9" x14ac:dyDescent="0.2">
      <c r="A1417" s="2">
        <v>15</v>
      </c>
      <c r="B1417" s="1" t="s">
        <v>174</v>
      </c>
      <c r="C1417" s="4">
        <v>5</v>
      </c>
      <c r="D1417" s="8">
        <v>1.43</v>
      </c>
      <c r="E1417" s="4">
        <v>4</v>
      </c>
      <c r="F1417" s="8">
        <v>2.0499999999999998</v>
      </c>
      <c r="G1417" s="4">
        <v>1</v>
      </c>
      <c r="H1417" s="8">
        <v>0.67</v>
      </c>
      <c r="I1417" s="4">
        <v>0</v>
      </c>
    </row>
    <row r="1418" spans="1:9" x14ac:dyDescent="0.2">
      <c r="A1418" s="2">
        <v>15</v>
      </c>
      <c r="B1418" s="1" t="s">
        <v>175</v>
      </c>
      <c r="C1418" s="4">
        <v>5</v>
      </c>
      <c r="D1418" s="8">
        <v>1.43</v>
      </c>
      <c r="E1418" s="4">
        <v>5</v>
      </c>
      <c r="F1418" s="8">
        <v>2.56</v>
      </c>
      <c r="G1418" s="4">
        <v>0</v>
      </c>
      <c r="H1418" s="8">
        <v>0</v>
      </c>
      <c r="I1418" s="4">
        <v>0</v>
      </c>
    </row>
    <row r="1419" spans="1:9" x14ac:dyDescent="0.2">
      <c r="A1419" s="1"/>
      <c r="C1419" s="4"/>
      <c r="D1419" s="8"/>
      <c r="E1419" s="4"/>
      <c r="F1419" s="8"/>
      <c r="G1419" s="4"/>
      <c r="H1419" s="8"/>
      <c r="I1419" s="4"/>
    </row>
    <row r="1420" spans="1:9" x14ac:dyDescent="0.2">
      <c r="A1420" s="1" t="s">
        <v>62</v>
      </c>
      <c r="C1420" s="4"/>
      <c r="D1420" s="8"/>
      <c r="E1420" s="4"/>
      <c r="F1420" s="8"/>
      <c r="G1420" s="4"/>
      <c r="H1420" s="8"/>
      <c r="I1420" s="4"/>
    </row>
    <row r="1421" spans="1:9" x14ac:dyDescent="0.2">
      <c r="A1421" s="2">
        <v>1</v>
      </c>
      <c r="B1421" s="1" t="s">
        <v>167</v>
      </c>
      <c r="C1421" s="4">
        <v>20</v>
      </c>
      <c r="D1421" s="8">
        <v>9.76</v>
      </c>
      <c r="E1421" s="4">
        <v>18</v>
      </c>
      <c r="F1421" s="8">
        <v>15.65</v>
      </c>
      <c r="G1421" s="4">
        <v>2</v>
      </c>
      <c r="H1421" s="8">
        <v>2.33</v>
      </c>
      <c r="I1421" s="4">
        <v>0</v>
      </c>
    </row>
    <row r="1422" spans="1:9" x14ac:dyDescent="0.2">
      <c r="A1422" s="2">
        <v>2</v>
      </c>
      <c r="B1422" s="1" t="s">
        <v>157</v>
      </c>
      <c r="C1422" s="4">
        <v>12</v>
      </c>
      <c r="D1422" s="8">
        <v>5.85</v>
      </c>
      <c r="E1422" s="4">
        <v>2</v>
      </c>
      <c r="F1422" s="8">
        <v>1.74</v>
      </c>
      <c r="G1422" s="4">
        <v>10</v>
      </c>
      <c r="H1422" s="8">
        <v>11.63</v>
      </c>
      <c r="I1422" s="4">
        <v>0</v>
      </c>
    </row>
    <row r="1423" spans="1:9" x14ac:dyDescent="0.2">
      <c r="A1423" s="2">
        <v>3</v>
      </c>
      <c r="B1423" s="1" t="s">
        <v>173</v>
      </c>
      <c r="C1423" s="4">
        <v>11</v>
      </c>
      <c r="D1423" s="8">
        <v>5.37</v>
      </c>
      <c r="E1423" s="4">
        <v>10</v>
      </c>
      <c r="F1423" s="8">
        <v>8.6999999999999993</v>
      </c>
      <c r="G1423" s="4">
        <v>1</v>
      </c>
      <c r="H1423" s="8">
        <v>1.1599999999999999</v>
      </c>
      <c r="I1423" s="4">
        <v>0</v>
      </c>
    </row>
    <row r="1424" spans="1:9" x14ac:dyDescent="0.2">
      <c r="A1424" s="2">
        <v>4</v>
      </c>
      <c r="B1424" s="1" t="s">
        <v>169</v>
      </c>
      <c r="C1424" s="4">
        <v>9</v>
      </c>
      <c r="D1424" s="8">
        <v>4.3899999999999997</v>
      </c>
      <c r="E1424" s="4">
        <v>7</v>
      </c>
      <c r="F1424" s="8">
        <v>6.09</v>
      </c>
      <c r="G1424" s="4">
        <v>2</v>
      </c>
      <c r="H1424" s="8">
        <v>2.33</v>
      </c>
      <c r="I1424" s="4">
        <v>0</v>
      </c>
    </row>
    <row r="1425" spans="1:9" x14ac:dyDescent="0.2">
      <c r="A1425" s="2">
        <v>5</v>
      </c>
      <c r="B1425" s="1" t="s">
        <v>160</v>
      </c>
      <c r="C1425" s="4">
        <v>6</v>
      </c>
      <c r="D1425" s="8">
        <v>2.93</v>
      </c>
      <c r="E1425" s="4">
        <v>1</v>
      </c>
      <c r="F1425" s="8">
        <v>0.87</v>
      </c>
      <c r="G1425" s="4">
        <v>5</v>
      </c>
      <c r="H1425" s="8">
        <v>5.81</v>
      </c>
      <c r="I1425" s="4">
        <v>0</v>
      </c>
    </row>
    <row r="1426" spans="1:9" x14ac:dyDescent="0.2">
      <c r="A1426" s="2">
        <v>5</v>
      </c>
      <c r="B1426" s="1" t="s">
        <v>175</v>
      </c>
      <c r="C1426" s="4">
        <v>6</v>
      </c>
      <c r="D1426" s="8">
        <v>2.93</v>
      </c>
      <c r="E1426" s="4">
        <v>6</v>
      </c>
      <c r="F1426" s="8">
        <v>5.22</v>
      </c>
      <c r="G1426" s="4">
        <v>0</v>
      </c>
      <c r="H1426" s="8">
        <v>0</v>
      </c>
      <c r="I1426" s="4">
        <v>0</v>
      </c>
    </row>
    <row r="1427" spans="1:9" x14ac:dyDescent="0.2">
      <c r="A1427" s="2">
        <v>5</v>
      </c>
      <c r="B1427" s="1" t="s">
        <v>176</v>
      </c>
      <c r="C1427" s="4">
        <v>6</v>
      </c>
      <c r="D1427" s="8">
        <v>2.93</v>
      </c>
      <c r="E1427" s="4">
        <v>4</v>
      </c>
      <c r="F1427" s="8">
        <v>3.48</v>
      </c>
      <c r="G1427" s="4">
        <v>2</v>
      </c>
      <c r="H1427" s="8">
        <v>2.33</v>
      </c>
      <c r="I1427" s="4">
        <v>0</v>
      </c>
    </row>
    <row r="1428" spans="1:9" x14ac:dyDescent="0.2">
      <c r="A1428" s="2">
        <v>8</v>
      </c>
      <c r="B1428" s="1" t="s">
        <v>164</v>
      </c>
      <c r="C1428" s="4">
        <v>5</v>
      </c>
      <c r="D1428" s="8">
        <v>2.44</v>
      </c>
      <c r="E1428" s="4">
        <v>4</v>
      </c>
      <c r="F1428" s="8">
        <v>3.48</v>
      </c>
      <c r="G1428" s="4">
        <v>1</v>
      </c>
      <c r="H1428" s="8">
        <v>1.1599999999999999</v>
      </c>
      <c r="I1428" s="4">
        <v>0</v>
      </c>
    </row>
    <row r="1429" spans="1:9" x14ac:dyDescent="0.2">
      <c r="A1429" s="2">
        <v>8</v>
      </c>
      <c r="B1429" s="1" t="s">
        <v>189</v>
      </c>
      <c r="C1429" s="4">
        <v>5</v>
      </c>
      <c r="D1429" s="8">
        <v>2.44</v>
      </c>
      <c r="E1429" s="4">
        <v>5</v>
      </c>
      <c r="F1429" s="8">
        <v>4.3499999999999996</v>
      </c>
      <c r="G1429" s="4">
        <v>0</v>
      </c>
      <c r="H1429" s="8">
        <v>0</v>
      </c>
      <c r="I1429" s="4">
        <v>0</v>
      </c>
    </row>
    <row r="1430" spans="1:9" x14ac:dyDescent="0.2">
      <c r="A1430" s="2">
        <v>10</v>
      </c>
      <c r="B1430" s="1" t="s">
        <v>159</v>
      </c>
      <c r="C1430" s="4">
        <v>4</v>
      </c>
      <c r="D1430" s="8">
        <v>1.95</v>
      </c>
      <c r="E1430" s="4">
        <v>1</v>
      </c>
      <c r="F1430" s="8">
        <v>0.87</v>
      </c>
      <c r="G1430" s="4">
        <v>3</v>
      </c>
      <c r="H1430" s="8">
        <v>3.49</v>
      </c>
      <c r="I1430" s="4">
        <v>0</v>
      </c>
    </row>
    <row r="1431" spans="1:9" x14ac:dyDescent="0.2">
      <c r="A1431" s="2">
        <v>10</v>
      </c>
      <c r="B1431" s="1" t="s">
        <v>216</v>
      </c>
      <c r="C1431" s="4">
        <v>4</v>
      </c>
      <c r="D1431" s="8">
        <v>1.95</v>
      </c>
      <c r="E1431" s="4">
        <v>4</v>
      </c>
      <c r="F1431" s="8">
        <v>3.48</v>
      </c>
      <c r="G1431" s="4">
        <v>0</v>
      </c>
      <c r="H1431" s="8">
        <v>0</v>
      </c>
      <c r="I1431" s="4">
        <v>0</v>
      </c>
    </row>
    <row r="1432" spans="1:9" x14ac:dyDescent="0.2">
      <c r="A1432" s="2">
        <v>10</v>
      </c>
      <c r="B1432" s="1" t="s">
        <v>166</v>
      </c>
      <c r="C1432" s="4">
        <v>4</v>
      </c>
      <c r="D1432" s="8">
        <v>1.95</v>
      </c>
      <c r="E1432" s="4">
        <v>0</v>
      </c>
      <c r="F1432" s="8">
        <v>0</v>
      </c>
      <c r="G1432" s="4">
        <v>4</v>
      </c>
      <c r="H1432" s="8">
        <v>4.6500000000000004</v>
      </c>
      <c r="I1432" s="4">
        <v>0</v>
      </c>
    </row>
    <row r="1433" spans="1:9" x14ac:dyDescent="0.2">
      <c r="A1433" s="2">
        <v>10</v>
      </c>
      <c r="B1433" s="1" t="s">
        <v>172</v>
      </c>
      <c r="C1433" s="4">
        <v>4</v>
      </c>
      <c r="D1433" s="8">
        <v>1.95</v>
      </c>
      <c r="E1433" s="4">
        <v>4</v>
      </c>
      <c r="F1433" s="8">
        <v>3.48</v>
      </c>
      <c r="G1433" s="4">
        <v>0</v>
      </c>
      <c r="H1433" s="8">
        <v>0</v>
      </c>
      <c r="I1433" s="4">
        <v>0</v>
      </c>
    </row>
    <row r="1434" spans="1:9" x14ac:dyDescent="0.2">
      <c r="A1434" s="2">
        <v>14</v>
      </c>
      <c r="B1434" s="1" t="s">
        <v>180</v>
      </c>
      <c r="C1434" s="4">
        <v>3</v>
      </c>
      <c r="D1434" s="8">
        <v>1.46</v>
      </c>
      <c r="E1434" s="4">
        <v>0</v>
      </c>
      <c r="F1434" s="8">
        <v>0</v>
      </c>
      <c r="G1434" s="4">
        <v>3</v>
      </c>
      <c r="H1434" s="8">
        <v>3.49</v>
      </c>
      <c r="I1434" s="4">
        <v>0</v>
      </c>
    </row>
    <row r="1435" spans="1:9" x14ac:dyDescent="0.2">
      <c r="A1435" s="2">
        <v>14</v>
      </c>
      <c r="B1435" s="1" t="s">
        <v>230</v>
      </c>
      <c r="C1435" s="4">
        <v>3</v>
      </c>
      <c r="D1435" s="8">
        <v>1.46</v>
      </c>
      <c r="E1435" s="4">
        <v>1</v>
      </c>
      <c r="F1435" s="8">
        <v>0.87</v>
      </c>
      <c r="G1435" s="4">
        <v>2</v>
      </c>
      <c r="H1435" s="8">
        <v>2.33</v>
      </c>
      <c r="I1435" s="4">
        <v>0</v>
      </c>
    </row>
    <row r="1436" spans="1:9" x14ac:dyDescent="0.2">
      <c r="A1436" s="2">
        <v>14</v>
      </c>
      <c r="B1436" s="1" t="s">
        <v>235</v>
      </c>
      <c r="C1436" s="4">
        <v>3</v>
      </c>
      <c r="D1436" s="8">
        <v>1.46</v>
      </c>
      <c r="E1436" s="4">
        <v>0</v>
      </c>
      <c r="F1436" s="8">
        <v>0</v>
      </c>
      <c r="G1436" s="4">
        <v>3</v>
      </c>
      <c r="H1436" s="8">
        <v>3.49</v>
      </c>
      <c r="I1436" s="4">
        <v>0</v>
      </c>
    </row>
    <row r="1437" spans="1:9" x14ac:dyDescent="0.2">
      <c r="A1437" s="2">
        <v>14</v>
      </c>
      <c r="B1437" s="1" t="s">
        <v>225</v>
      </c>
      <c r="C1437" s="4">
        <v>3</v>
      </c>
      <c r="D1437" s="8">
        <v>1.46</v>
      </c>
      <c r="E1437" s="4">
        <v>2</v>
      </c>
      <c r="F1437" s="8">
        <v>1.74</v>
      </c>
      <c r="G1437" s="4">
        <v>1</v>
      </c>
      <c r="H1437" s="8">
        <v>1.1599999999999999</v>
      </c>
      <c r="I1437" s="4">
        <v>0</v>
      </c>
    </row>
    <row r="1438" spans="1:9" x14ac:dyDescent="0.2">
      <c r="A1438" s="2">
        <v>14</v>
      </c>
      <c r="B1438" s="1" t="s">
        <v>178</v>
      </c>
      <c r="C1438" s="4">
        <v>3</v>
      </c>
      <c r="D1438" s="8">
        <v>1.46</v>
      </c>
      <c r="E1438" s="4">
        <v>2</v>
      </c>
      <c r="F1438" s="8">
        <v>1.74</v>
      </c>
      <c r="G1438" s="4">
        <v>1</v>
      </c>
      <c r="H1438" s="8">
        <v>1.1599999999999999</v>
      </c>
      <c r="I1438" s="4">
        <v>0</v>
      </c>
    </row>
    <row r="1439" spans="1:9" x14ac:dyDescent="0.2">
      <c r="A1439" s="2">
        <v>14</v>
      </c>
      <c r="B1439" s="1" t="s">
        <v>206</v>
      </c>
      <c r="C1439" s="4">
        <v>3</v>
      </c>
      <c r="D1439" s="8">
        <v>1.46</v>
      </c>
      <c r="E1439" s="4">
        <v>3</v>
      </c>
      <c r="F1439" s="8">
        <v>2.61</v>
      </c>
      <c r="G1439" s="4">
        <v>0</v>
      </c>
      <c r="H1439" s="8">
        <v>0</v>
      </c>
      <c r="I1439" s="4">
        <v>0</v>
      </c>
    </row>
    <row r="1440" spans="1:9" x14ac:dyDescent="0.2">
      <c r="A1440" s="2">
        <v>14</v>
      </c>
      <c r="B1440" s="1" t="s">
        <v>192</v>
      </c>
      <c r="C1440" s="4">
        <v>3</v>
      </c>
      <c r="D1440" s="8">
        <v>1.46</v>
      </c>
      <c r="E1440" s="4">
        <v>3</v>
      </c>
      <c r="F1440" s="8">
        <v>2.61</v>
      </c>
      <c r="G1440" s="4">
        <v>0</v>
      </c>
      <c r="H1440" s="8">
        <v>0</v>
      </c>
      <c r="I1440" s="4">
        <v>0</v>
      </c>
    </row>
    <row r="1441" spans="1:9" x14ac:dyDescent="0.2">
      <c r="A1441" s="2">
        <v>14</v>
      </c>
      <c r="B1441" s="1" t="s">
        <v>171</v>
      </c>
      <c r="C1441" s="4">
        <v>3</v>
      </c>
      <c r="D1441" s="8">
        <v>1.46</v>
      </c>
      <c r="E1441" s="4">
        <v>1</v>
      </c>
      <c r="F1441" s="8">
        <v>0.87</v>
      </c>
      <c r="G1441" s="4">
        <v>2</v>
      </c>
      <c r="H1441" s="8">
        <v>2.33</v>
      </c>
      <c r="I1441" s="4">
        <v>0</v>
      </c>
    </row>
    <row r="1442" spans="1:9" x14ac:dyDescent="0.2">
      <c r="A1442" s="1"/>
      <c r="C1442" s="4"/>
      <c r="D1442" s="8"/>
      <c r="E1442" s="4"/>
      <c r="F1442" s="8"/>
      <c r="G1442" s="4"/>
      <c r="H1442" s="8"/>
      <c r="I1442" s="4"/>
    </row>
    <row r="1443" spans="1:9" x14ac:dyDescent="0.2">
      <c r="A1443" s="1" t="s">
        <v>63</v>
      </c>
      <c r="C1443" s="4"/>
      <c r="D1443" s="8"/>
      <c r="E1443" s="4"/>
      <c r="F1443" s="8"/>
      <c r="G1443" s="4"/>
      <c r="H1443" s="8"/>
      <c r="I1443" s="4"/>
    </row>
    <row r="1444" spans="1:9" x14ac:dyDescent="0.2">
      <c r="A1444" s="2">
        <v>1</v>
      </c>
      <c r="B1444" s="1" t="s">
        <v>169</v>
      </c>
      <c r="C1444" s="4">
        <v>14</v>
      </c>
      <c r="D1444" s="8">
        <v>4.75</v>
      </c>
      <c r="E1444" s="4">
        <v>13</v>
      </c>
      <c r="F1444" s="8">
        <v>7.03</v>
      </c>
      <c r="G1444" s="4">
        <v>1</v>
      </c>
      <c r="H1444" s="8">
        <v>0.94</v>
      </c>
      <c r="I1444" s="4">
        <v>0</v>
      </c>
    </row>
    <row r="1445" spans="1:9" x14ac:dyDescent="0.2">
      <c r="A1445" s="2">
        <v>2</v>
      </c>
      <c r="B1445" s="1" t="s">
        <v>173</v>
      </c>
      <c r="C1445" s="4">
        <v>13</v>
      </c>
      <c r="D1445" s="8">
        <v>4.41</v>
      </c>
      <c r="E1445" s="4">
        <v>11</v>
      </c>
      <c r="F1445" s="8">
        <v>5.95</v>
      </c>
      <c r="G1445" s="4">
        <v>2</v>
      </c>
      <c r="H1445" s="8">
        <v>1.89</v>
      </c>
      <c r="I1445" s="4">
        <v>0</v>
      </c>
    </row>
    <row r="1446" spans="1:9" x14ac:dyDescent="0.2">
      <c r="A1446" s="2">
        <v>3</v>
      </c>
      <c r="B1446" s="1" t="s">
        <v>164</v>
      </c>
      <c r="C1446" s="4">
        <v>12</v>
      </c>
      <c r="D1446" s="8">
        <v>4.07</v>
      </c>
      <c r="E1446" s="4">
        <v>8</v>
      </c>
      <c r="F1446" s="8">
        <v>4.32</v>
      </c>
      <c r="G1446" s="4">
        <v>4</v>
      </c>
      <c r="H1446" s="8">
        <v>3.77</v>
      </c>
      <c r="I1446" s="4">
        <v>0</v>
      </c>
    </row>
    <row r="1447" spans="1:9" x14ac:dyDescent="0.2">
      <c r="A1447" s="2">
        <v>4</v>
      </c>
      <c r="B1447" s="1" t="s">
        <v>159</v>
      </c>
      <c r="C1447" s="4">
        <v>10</v>
      </c>
      <c r="D1447" s="8">
        <v>3.39</v>
      </c>
      <c r="E1447" s="4">
        <v>5</v>
      </c>
      <c r="F1447" s="8">
        <v>2.7</v>
      </c>
      <c r="G1447" s="4">
        <v>5</v>
      </c>
      <c r="H1447" s="8">
        <v>4.72</v>
      </c>
      <c r="I1447" s="4">
        <v>0</v>
      </c>
    </row>
    <row r="1448" spans="1:9" x14ac:dyDescent="0.2">
      <c r="A1448" s="2">
        <v>4</v>
      </c>
      <c r="B1448" s="1" t="s">
        <v>176</v>
      </c>
      <c r="C1448" s="4">
        <v>10</v>
      </c>
      <c r="D1448" s="8">
        <v>3.39</v>
      </c>
      <c r="E1448" s="4">
        <v>8</v>
      </c>
      <c r="F1448" s="8">
        <v>4.32</v>
      </c>
      <c r="G1448" s="4">
        <v>2</v>
      </c>
      <c r="H1448" s="8">
        <v>1.89</v>
      </c>
      <c r="I1448" s="4">
        <v>0</v>
      </c>
    </row>
    <row r="1449" spans="1:9" x14ac:dyDescent="0.2">
      <c r="A1449" s="2">
        <v>6</v>
      </c>
      <c r="B1449" s="1" t="s">
        <v>160</v>
      </c>
      <c r="C1449" s="4">
        <v>8</v>
      </c>
      <c r="D1449" s="8">
        <v>2.71</v>
      </c>
      <c r="E1449" s="4">
        <v>4</v>
      </c>
      <c r="F1449" s="8">
        <v>2.16</v>
      </c>
      <c r="G1449" s="4">
        <v>4</v>
      </c>
      <c r="H1449" s="8">
        <v>3.77</v>
      </c>
      <c r="I1449" s="4">
        <v>0</v>
      </c>
    </row>
    <row r="1450" spans="1:9" x14ac:dyDescent="0.2">
      <c r="A1450" s="2">
        <v>6</v>
      </c>
      <c r="B1450" s="1" t="s">
        <v>203</v>
      </c>
      <c r="C1450" s="4">
        <v>8</v>
      </c>
      <c r="D1450" s="8">
        <v>2.71</v>
      </c>
      <c r="E1450" s="4">
        <v>5</v>
      </c>
      <c r="F1450" s="8">
        <v>2.7</v>
      </c>
      <c r="G1450" s="4">
        <v>3</v>
      </c>
      <c r="H1450" s="8">
        <v>2.83</v>
      </c>
      <c r="I1450" s="4">
        <v>0</v>
      </c>
    </row>
    <row r="1451" spans="1:9" x14ac:dyDescent="0.2">
      <c r="A1451" s="2">
        <v>8</v>
      </c>
      <c r="B1451" s="1" t="s">
        <v>157</v>
      </c>
      <c r="C1451" s="4">
        <v>7</v>
      </c>
      <c r="D1451" s="8">
        <v>2.37</v>
      </c>
      <c r="E1451" s="4">
        <v>0</v>
      </c>
      <c r="F1451" s="8">
        <v>0</v>
      </c>
      <c r="G1451" s="4">
        <v>7</v>
      </c>
      <c r="H1451" s="8">
        <v>6.6</v>
      </c>
      <c r="I1451" s="4">
        <v>0</v>
      </c>
    </row>
    <row r="1452" spans="1:9" x14ac:dyDescent="0.2">
      <c r="A1452" s="2">
        <v>8</v>
      </c>
      <c r="B1452" s="1" t="s">
        <v>162</v>
      </c>
      <c r="C1452" s="4">
        <v>7</v>
      </c>
      <c r="D1452" s="8">
        <v>2.37</v>
      </c>
      <c r="E1452" s="4">
        <v>5</v>
      </c>
      <c r="F1452" s="8">
        <v>2.7</v>
      </c>
      <c r="G1452" s="4">
        <v>2</v>
      </c>
      <c r="H1452" s="8">
        <v>1.89</v>
      </c>
      <c r="I1452" s="4">
        <v>0</v>
      </c>
    </row>
    <row r="1453" spans="1:9" x14ac:dyDescent="0.2">
      <c r="A1453" s="2">
        <v>8</v>
      </c>
      <c r="B1453" s="1" t="s">
        <v>171</v>
      </c>
      <c r="C1453" s="4">
        <v>7</v>
      </c>
      <c r="D1453" s="8">
        <v>2.37</v>
      </c>
      <c r="E1453" s="4">
        <v>5</v>
      </c>
      <c r="F1453" s="8">
        <v>2.7</v>
      </c>
      <c r="G1453" s="4">
        <v>2</v>
      </c>
      <c r="H1453" s="8">
        <v>1.89</v>
      </c>
      <c r="I1453" s="4">
        <v>0</v>
      </c>
    </row>
    <row r="1454" spans="1:9" x14ac:dyDescent="0.2">
      <c r="A1454" s="2">
        <v>8</v>
      </c>
      <c r="B1454" s="1" t="s">
        <v>172</v>
      </c>
      <c r="C1454" s="4">
        <v>7</v>
      </c>
      <c r="D1454" s="8">
        <v>2.37</v>
      </c>
      <c r="E1454" s="4">
        <v>7</v>
      </c>
      <c r="F1454" s="8">
        <v>3.78</v>
      </c>
      <c r="G1454" s="4">
        <v>0</v>
      </c>
      <c r="H1454" s="8">
        <v>0</v>
      </c>
      <c r="I1454" s="4">
        <v>0</v>
      </c>
    </row>
    <row r="1455" spans="1:9" x14ac:dyDescent="0.2">
      <c r="A1455" s="2">
        <v>12</v>
      </c>
      <c r="B1455" s="1" t="s">
        <v>216</v>
      </c>
      <c r="C1455" s="4">
        <v>6</v>
      </c>
      <c r="D1455" s="8">
        <v>2.0299999999999998</v>
      </c>
      <c r="E1455" s="4">
        <v>6</v>
      </c>
      <c r="F1455" s="8">
        <v>3.24</v>
      </c>
      <c r="G1455" s="4">
        <v>0</v>
      </c>
      <c r="H1455" s="8">
        <v>0</v>
      </c>
      <c r="I1455" s="4">
        <v>0</v>
      </c>
    </row>
    <row r="1456" spans="1:9" x14ac:dyDescent="0.2">
      <c r="A1456" s="2">
        <v>12</v>
      </c>
      <c r="B1456" s="1" t="s">
        <v>225</v>
      </c>
      <c r="C1456" s="4">
        <v>6</v>
      </c>
      <c r="D1456" s="8">
        <v>2.0299999999999998</v>
      </c>
      <c r="E1456" s="4">
        <v>5</v>
      </c>
      <c r="F1456" s="8">
        <v>2.7</v>
      </c>
      <c r="G1456" s="4">
        <v>1</v>
      </c>
      <c r="H1456" s="8">
        <v>0.94</v>
      </c>
      <c r="I1456" s="4">
        <v>0</v>
      </c>
    </row>
    <row r="1457" spans="1:9" x14ac:dyDescent="0.2">
      <c r="A1457" s="2">
        <v>12</v>
      </c>
      <c r="B1457" s="1" t="s">
        <v>170</v>
      </c>
      <c r="C1457" s="4">
        <v>6</v>
      </c>
      <c r="D1457" s="8">
        <v>2.0299999999999998</v>
      </c>
      <c r="E1457" s="4">
        <v>6</v>
      </c>
      <c r="F1457" s="8">
        <v>3.24</v>
      </c>
      <c r="G1457" s="4">
        <v>0</v>
      </c>
      <c r="H1457" s="8">
        <v>0</v>
      </c>
      <c r="I1457" s="4">
        <v>0</v>
      </c>
    </row>
    <row r="1458" spans="1:9" x14ac:dyDescent="0.2">
      <c r="A1458" s="2">
        <v>15</v>
      </c>
      <c r="B1458" s="1" t="s">
        <v>167</v>
      </c>
      <c r="C1458" s="4">
        <v>5</v>
      </c>
      <c r="D1458" s="8">
        <v>1.69</v>
      </c>
      <c r="E1458" s="4">
        <v>1</v>
      </c>
      <c r="F1458" s="8">
        <v>0.54</v>
      </c>
      <c r="G1458" s="4">
        <v>4</v>
      </c>
      <c r="H1458" s="8">
        <v>3.77</v>
      </c>
      <c r="I1458" s="4">
        <v>0</v>
      </c>
    </row>
    <row r="1459" spans="1:9" x14ac:dyDescent="0.2">
      <c r="A1459" s="2">
        <v>15</v>
      </c>
      <c r="B1459" s="1" t="s">
        <v>237</v>
      </c>
      <c r="C1459" s="4">
        <v>5</v>
      </c>
      <c r="D1459" s="8">
        <v>1.69</v>
      </c>
      <c r="E1459" s="4">
        <v>3</v>
      </c>
      <c r="F1459" s="8">
        <v>1.62</v>
      </c>
      <c r="G1459" s="4">
        <v>2</v>
      </c>
      <c r="H1459" s="8">
        <v>1.89</v>
      </c>
      <c r="I1459" s="4">
        <v>0</v>
      </c>
    </row>
    <row r="1460" spans="1:9" x14ac:dyDescent="0.2">
      <c r="A1460" s="2">
        <v>17</v>
      </c>
      <c r="B1460" s="1" t="s">
        <v>158</v>
      </c>
      <c r="C1460" s="4">
        <v>4</v>
      </c>
      <c r="D1460" s="8">
        <v>1.36</v>
      </c>
      <c r="E1460" s="4">
        <v>0</v>
      </c>
      <c r="F1460" s="8">
        <v>0</v>
      </c>
      <c r="G1460" s="4">
        <v>4</v>
      </c>
      <c r="H1460" s="8">
        <v>3.77</v>
      </c>
      <c r="I1460" s="4">
        <v>0</v>
      </c>
    </row>
    <row r="1461" spans="1:9" x14ac:dyDescent="0.2">
      <c r="A1461" s="2">
        <v>17</v>
      </c>
      <c r="B1461" s="1" t="s">
        <v>236</v>
      </c>
      <c r="C1461" s="4">
        <v>4</v>
      </c>
      <c r="D1461" s="8">
        <v>1.36</v>
      </c>
      <c r="E1461" s="4">
        <v>3</v>
      </c>
      <c r="F1461" s="8">
        <v>1.62</v>
      </c>
      <c r="G1461" s="4">
        <v>1</v>
      </c>
      <c r="H1461" s="8">
        <v>0.94</v>
      </c>
      <c r="I1461" s="4">
        <v>0</v>
      </c>
    </row>
    <row r="1462" spans="1:9" x14ac:dyDescent="0.2">
      <c r="A1462" s="2">
        <v>17</v>
      </c>
      <c r="B1462" s="1" t="s">
        <v>163</v>
      </c>
      <c r="C1462" s="4">
        <v>4</v>
      </c>
      <c r="D1462" s="8">
        <v>1.36</v>
      </c>
      <c r="E1462" s="4">
        <v>4</v>
      </c>
      <c r="F1462" s="8">
        <v>2.16</v>
      </c>
      <c r="G1462" s="4">
        <v>0</v>
      </c>
      <c r="H1462" s="8">
        <v>0</v>
      </c>
      <c r="I1462" s="4">
        <v>0</v>
      </c>
    </row>
    <row r="1463" spans="1:9" x14ac:dyDescent="0.2">
      <c r="A1463" s="2">
        <v>17</v>
      </c>
      <c r="B1463" s="1" t="s">
        <v>185</v>
      </c>
      <c r="C1463" s="4">
        <v>4</v>
      </c>
      <c r="D1463" s="8">
        <v>1.36</v>
      </c>
      <c r="E1463" s="4">
        <v>2</v>
      </c>
      <c r="F1463" s="8">
        <v>1.08</v>
      </c>
      <c r="G1463" s="4">
        <v>2</v>
      </c>
      <c r="H1463" s="8">
        <v>1.89</v>
      </c>
      <c r="I1463" s="4">
        <v>0</v>
      </c>
    </row>
    <row r="1464" spans="1:9" x14ac:dyDescent="0.2">
      <c r="A1464" s="2">
        <v>17</v>
      </c>
      <c r="B1464" s="1" t="s">
        <v>207</v>
      </c>
      <c r="C1464" s="4">
        <v>4</v>
      </c>
      <c r="D1464" s="8">
        <v>1.36</v>
      </c>
      <c r="E1464" s="4">
        <v>4</v>
      </c>
      <c r="F1464" s="8">
        <v>2.16</v>
      </c>
      <c r="G1464" s="4">
        <v>0</v>
      </c>
      <c r="H1464" s="8">
        <v>0</v>
      </c>
      <c r="I1464" s="4">
        <v>0</v>
      </c>
    </row>
    <row r="1465" spans="1:9" x14ac:dyDescent="0.2">
      <c r="A1465" s="2">
        <v>17</v>
      </c>
      <c r="B1465" s="1" t="s">
        <v>226</v>
      </c>
      <c r="C1465" s="4">
        <v>4</v>
      </c>
      <c r="D1465" s="8">
        <v>1.36</v>
      </c>
      <c r="E1465" s="4">
        <v>3</v>
      </c>
      <c r="F1465" s="8">
        <v>1.62</v>
      </c>
      <c r="G1465" s="4">
        <v>1</v>
      </c>
      <c r="H1465" s="8">
        <v>0.94</v>
      </c>
      <c r="I1465" s="4">
        <v>0</v>
      </c>
    </row>
    <row r="1466" spans="1:9" x14ac:dyDescent="0.2">
      <c r="A1466" s="2">
        <v>17</v>
      </c>
      <c r="B1466" s="1" t="s">
        <v>179</v>
      </c>
      <c r="C1466" s="4">
        <v>4</v>
      </c>
      <c r="D1466" s="8">
        <v>1.36</v>
      </c>
      <c r="E1466" s="4">
        <v>4</v>
      </c>
      <c r="F1466" s="8">
        <v>2.16</v>
      </c>
      <c r="G1466" s="4">
        <v>0</v>
      </c>
      <c r="H1466" s="8">
        <v>0</v>
      </c>
      <c r="I1466" s="4">
        <v>0</v>
      </c>
    </row>
    <row r="1467" spans="1:9" x14ac:dyDescent="0.2">
      <c r="A1467" s="2">
        <v>17</v>
      </c>
      <c r="B1467" s="1" t="s">
        <v>175</v>
      </c>
      <c r="C1467" s="4">
        <v>4</v>
      </c>
      <c r="D1467" s="8">
        <v>1.36</v>
      </c>
      <c r="E1467" s="4">
        <v>4</v>
      </c>
      <c r="F1467" s="8">
        <v>2.16</v>
      </c>
      <c r="G1467" s="4">
        <v>0</v>
      </c>
      <c r="H1467" s="8">
        <v>0</v>
      </c>
      <c r="I1467" s="4">
        <v>0</v>
      </c>
    </row>
    <row r="1468" spans="1:9" x14ac:dyDescent="0.2">
      <c r="A1468" s="1"/>
      <c r="C1468" s="4"/>
      <c r="D1468" s="8"/>
      <c r="E1468" s="4"/>
      <c r="F1468" s="8"/>
      <c r="G1468" s="4"/>
      <c r="H1468" s="8"/>
      <c r="I1468" s="4"/>
    </row>
    <row r="1469" spans="1:9" x14ac:dyDescent="0.2">
      <c r="A1469" s="1" t="s">
        <v>64</v>
      </c>
      <c r="C1469" s="4"/>
      <c r="D1469" s="8"/>
      <c r="E1469" s="4"/>
      <c r="F1469" s="8"/>
      <c r="G1469" s="4"/>
      <c r="H1469" s="8"/>
      <c r="I1469" s="4"/>
    </row>
    <row r="1470" spans="1:9" x14ac:dyDescent="0.2">
      <c r="A1470" s="2">
        <v>1</v>
      </c>
      <c r="B1470" s="1" t="s">
        <v>173</v>
      </c>
      <c r="C1470" s="4">
        <v>14</v>
      </c>
      <c r="D1470" s="8">
        <v>5.38</v>
      </c>
      <c r="E1470" s="4">
        <v>13</v>
      </c>
      <c r="F1470" s="8">
        <v>7.56</v>
      </c>
      <c r="G1470" s="4">
        <v>1</v>
      </c>
      <c r="H1470" s="8">
        <v>1.18</v>
      </c>
      <c r="I1470" s="4">
        <v>0</v>
      </c>
    </row>
    <row r="1471" spans="1:9" x14ac:dyDescent="0.2">
      <c r="A1471" s="2">
        <v>2</v>
      </c>
      <c r="B1471" s="1" t="s">
        <v>206</v>
      </c>
      <c r="C1471" s="4">
        <v>10</v>
      </c>
      <c r="D1471" s="8">
        <v>3.85</v>
      </c>
      <c r="E1471" s="4">
        <v>8</v>
      </c>
      <c r="F1471" s="8">
        <v>4.6500000000000004</v>
      </c>
      <c r="G1471" s="4">
        <v>2</v>
      </c>
      <c r="H1471" s="8">
        <v>2.35</v>
      </c>
      <c r="I1471" s="4">
        <v>0</v>
      </c>
    </row>
    <row r="1472" spans="1:9" x14ac:dyDescent="0.2">
      <c r="A1472" s="2">
        <v>3</v>
      </c>
      <c r="B1472" s="1" t="s">
        <v>162</v>
      </c>
      <c r="C1472" s="4">
        <v>9</v>
      </c>
      <c r="D1472" s="8">
        <v>3.46</v>
      </c>
      <c r="E1472" s="4">
        <v>5</v>
      </c>
      <c r="F1472" s="8">
        <v>2.91</v>
      </c>
      <c r="G1472" s="4">
        <v>4</v>
      </c>
      <c r="H1472" s="8">
        <v>4.71</v>
      </c>
      <c r="I1472" s="4">
        <v>0</v>
      </c>
    </row>
    <row r="1473" spans="1:9" x14ac:dyDescent="0.2">
      <c r="A1473" s="2">
        <v>3</v>
      </c>
      <c r="B1473" s="1" t="s">
        <v>169</v>
      </c>
      <c r="C1473" s="4">
        <v>9</v>
      </c>
      <c r="D1473" s="8">
        <v>3.46</v>
      </c>
      <c r="E1473" s="4">
        <v>8</v>
      </c>
      <c r="F1473" s="8">
        <v>4.6500000000000004</v>
      </c>
      <c r="G1473" s="4">
        <v>1</v>
      </c>
      <c r="H1473" s="8">
        <v>1.18</v>
      </c>
      <c r="I1473" s="4">
        <v>0</v>
      </c>
    </row>
    <row r="1474" spans="1:9" x14ac:dyDescent="0.2">
      <c r="A1474" s="2">
        <v>5</v>
      </c>
      <c r="B1474" s="1" t="s">
        <v>189</v>
      </c>
      <c r="C1474" s="4">
        <v>8</v>
      </c>
      <c r="D1474" s="8">
        <v>3.08</v>
      </c>
      <c r="E1474" s="4">
        <v>8</v>
      </c>
      <c r="F1474" s="8">
        <v>4.6500000000000004</v>
      </c>
      <c r="G1474" s="4">
        <v>0</v>
      </c>
      <c r="H1474" s="8">
        <v>0</v>
      </c>
      <c r="I1474" s="4">
        <v>0</v>
      </c>
    </row>
    <row r="1475" spans="1:9" x14ac:dyDescent="0.2">
      <c r="A1475" s="2">
        <v>6</v>
      </c>
      <c r="B1475" s="1" t="s">
        <v>157</v>
      </c>
      <c r="C1475" s="4">
        <v>7</v>
      </c>
      <c r="D1475" s="8">
        <v>2.69</v>
      </c>
      <c r="E1475" s="4">
        <v>1</v>
      </c>
      <c r="F1475" s="8">
        <v>0.57999999999999996</v>
      </c>
      <c r="G1475" s="4">
        <v>6</v>
      </c>
      <c r="H1475" s="8">
        <v>7.06</v>
      </c>
      <c r="I1475" s="4">
        <v>0</v>
      </c>
    </row>
    <row r="1476" spans="1:9" x14ac:dyDescent="0.2">
      <c r="A1476" s="2">
        <v>6</v>
      </c>
      <c r="B1476" s="1" t="s">
        <v>238</v>
      </c>
      <c r="C1476" s="4">
        <v>7</v>
      </c>
      <c r="D1476" s="8">
        <v>2.69</v>
      </c>
      <c r="E1476" s="4">
        <v>1</v>
      </c>
      <c r="F1476" s="8">
        <v>0.57999999999999996</v>
      </c>
      <c r="G1476" s="4">
        <v>6</v>
      </c>
      <c r="H1476" s="8">
        <v>7.06</v>
      </c>
      <c r="I1476" s="4">
        <v>0</v>
      </c>
    </row>
    <row r="1477" spans="1:9" x14ac:dyDescent="0.2">
      <c r="A1477" s="2">
        <v>6</v>
      </c>
      <c r="B1477" s="1" t="s">
        <v>163</v>
      </c>
      <c r="C1477" s="4">
        <v>7</v>
      </c>
      <c r="D1477" s="8">
        <v>2.69</v>
      </c>
      <c r="E1477" s="4">
        <v>5</v>
      </c>
      <c r="F1477" s="8">
        <v>2.91</v>
      </c>
      <c r="G1477" s="4">
        <v>2</v>
      </c>
      <c r="H1477" s="8">
        <v>2.35</v>
      </c>
      <c r="I1477" s="4">
        <v>0</v>
      </c>
    </row>
    <row r="1478" spans="1:9" x14ac:dyDescent="0.2">
      <c r="A1478" s="2">
        <v>6</v>
      </c>
      <c r="B1478" s="1" t="s">
        <v>192</v>
      </c>
      <c r="C1478" s="4">
        <v>7</v>
      </c>
      <c r="D1478" s="8">
        <v>2.69</v>
      </c>
      <c r="E1478" s="4">
        <v>7</v>
      </c>
      <c r="F1478" s="8">
        <v>4.07</v>
      </c>
      <c r="G1478" s="4">
        <v>0</v>
      </c>
      <c r="H1478" s="8">
        <v>0</v>
      </c>
      <c r="I1478" s="4">
        <v>0</v>
      </c>
    </row>
    <row r="1479" spans="1:9" x14ac:dyDescent="0.2">
      <c r="A1479" s="2">
        <v>10</v>
      </c>
      <c r="B1479" s="1" t="s">
        <v>237</v>
      </c>
      <c r="C1479" s="4">
        <v>6</v>
      </c>
      <c r="D1479" s="8">
        <v>2.31</v>
      </c>
      <c r="E1479" s="4">
        <v>3</v>
      </c>
      <c r="F1479" s="8">
        <v>1.74</v>
      </c>
      <c r="G1479" s="4">
        <v>3</v>
      </c>
      <c r="H1479" s="8">
        <v>3.53</v>
      </c>
      <c r="I1479" s="4">
        <v>0</v>
      </c>
    </row>
    <row r="1480" spans="1:9" x14ac:dyDescent="0.2">
      <c r="A1480" s="2">
        <v>10</v>
      </c>
      <c r="B1480" s="1" t="s">
        <v>170</v>
      </c>
      <c r="C1480" s="4">
        <v>6</v>
      </c>
      <c r="D1480" s="8">
        <v>2.31</v>
      </c>
      <c r="E1480" s="4">
        <v>6</v>
      </c>
      <c r="F1480" s="8">
        <v>3.49</v>
      </c>
      <c r="G1480" s="4">
        <v>0</v>
      </c>
      <c r="H1480" s="8">
        <v>0</v>
      </c>
      <c r="I1480" s="4">
        <v>0</v>
      </c>
    </row>
    <row r="1481" spans="1:9" x14ac:dyDescent="0.2">
      <c r="A1481" s="2">
        <v>10</v>
      </c>
      <c r="B1481" s="1" t="s">
        <v>174</v>
      </c>
      <c r="C1481" s="4">
        <v>6</v>
      </c>
      <c r="D1481" s="8">
        <v>2.31</v>
      </c>
      <c r="E1481" s="4">
        <v>6</v>
      </c>
      <c r="F1481" s="8">
        <v>3.49</v>
      </c>
      <c r="G1481" s="4">
        <v>0</v>
      </c>
      <c r="H1481" s="8">
        <v>0</v>
      </c>
      <c r="I1481" s="4">
        <v>0</v>
      </c>
    </row>
    <row r="1482" spans="1:9" x14ac:dyDescent="0.2">
      <c r="A1482" s="2">
        <v>13</v>
      </c>
      <c r="B1482" s="1" t="s">
        <v>220</v>
      </c>
      <c r="C1482" s="4">
        <v>5</v>
      </c>
      <c r="D1482" s="8">
        <v>1.92</v>
      </c>
      <c r="E1482" s="4">
        <v>2</v>
      </c>
      <c r="F1482" s="8">
        <v>1.1599999999999999</v>
      </c>
      <c r="G1482" s="4">
        <v>3</v>
      </c>
      <c r="H1482" s="8">
        <v>3.53</v>
      </c>
      <c r="I1482" s="4">
        <v>0</v>
      </c>
    </row>
    <row r="1483" spans="1:9" x14ac:dyDescent="0.2">
      <c r="A1483" s="2">
        <v>13</v>
      </c>
      <c r="B1483" s="1" t="s">
        <v>164</v>
      </c>
      <c r="C1483" s="4">
        <v>5</v>
      </c>
      <c r="D1483" s="8">
        <v>1.92</v>
      </c>
      <c r="E1483" s="4">
        <v>5</v>
      </c>
      <c r="F1483" s="8">
        <v>2.91</v>
      </c>
      <c r="G1483" s="4">
        <v>0</v>
      </c>
      <c r="H1483" s="8">
        <v>0</v>
      </c>
      <c r="I1483" s="4">
        <v>0</v>
      </c>
    </row>
    <row r="1484" spans="1:9" x14ac:dyDescent="0.2">
      <c r="A1484" s="2">
        <v>13</v>
      </c>
      <c r="B1484" s="1" t="s">
        <v>167</v>
      </c>
      <c r="C1484" s="4">
        <v>5</v>
      </c>
      <c r="D1484" s="8">
        <v>1.92</v>
      </c>
      <c r="E1484" s="4">
        <v>4</v>
      </c>
      <c r="F1484" s="8">
        <v>2.33</v>
      </c>
      <c r="G1484" s="4">
        <v>1</v>
      </c>
      <c r="H1484" s="8">
        <v>1.18</v>
      </c>
      <c r="I1484" s="4">
        <v>0</v>
      </c>
    </row>
    <row r="1485" spans="1:9" x14ac:dyDescent="0.2">
      <c r="A1485" s="2">
        <v>13</v>
      </c>
      <c r="B1485" s="1" t="s">
        <v>205</v>
      </c>
      <c r="C1485" s="4">
        <v>5</v>
      </c>
      <c r="D1485" s="8">
        <v>1.92</v>
      </c>
      <c r="E1485" s="4">
        <v>4</v>
      </c>
      <c r="F1485" s="8">
        <v>2.33</v>
      </c>
      <c r="G1485" s="4">
        <v>1</v>
      </c>
      <c r="H1485" s="8">
        <v>1.18</v>
      </c>
      <c r="I1485" s="4">
        <v>0</v>
      </c>
    </row>
    <row r="1486" spans="1:9" x14ac:dyDescent="0.2">
      <c r="A1486" s="2">
        <v>13</v>
      </c>
      <c r="B1486" s="1" t="s">
        <v>172</v>
      </c>
      <c r="C1486" s="4">
        <v>5</v>
      </c>
      <c r="D1486" s="8">
        <v>1.92</v>
      </c>
      <c r="E1486" s="4">
        <v>5</v>
      </c>
      <c r="F1486" s="8">
        <v>2.91</v>
      </c>
      <c r="G1486" s="4">
        <v>0</v>
      </c>
      <c r="H1486" s="8">
        <v>0</v>
      </c>
      <c r="I1486" s="4">
        <v>0</v>
      </c>
    </row>
    <row r="1487" spans="1:9" x14ac:dyDescent="0.2">
      <c r="A1487" s="2">
        <v>13</v>
      </c>
      <c r="B1487" s="1" t="s">
        <v>175</v>
      </c>
      <c r="C1487" s="4">
        <v>5</v>
      </c>
      <c r="D1487" s="8">
        <v>1.92</v>
      </c>
      <c r="E1487" s="4">
        <v>3</v>
      </c>
      <c r="F1487" s="8">
        <v>1.74</v>
      </c>
      <c r="G1487" s="4">
        <v>2</v>
      </c>
      <c r="H1487" s="8">
        <v>2.35</v>
      </c>
      <c r="I1487" s="4">
        <v>0</v>
      </c>
    </row>
    <row r="1488" spans="1:9" x14ac:dyDescent="0.2">
      <c r="A1488" s="2">
        <v>19</v>
      </c>
      <c r="B1488" s="1" t="s">
        <v>158</v>
      </c>
      <c r="C1488" s="4">
        <v>4</v>
      </c>
      <c r="D1488" s="8">
        <v>1.54</v>
      </c>
      <c r="E1488" s="4">
        <v>3</v>
      </c>
      <c r="F1488" s="8">
        <v>1.74</v>
      </c>
      <c r="G1488" s="4">
        <v>1</v>
      </c>
      <c r="H1488" s="8">
        <v>1.18</v>
      </c>
      <c r="I1488" s="4">
        <v>0</v>
      </c>
    </row>
    <row r="1489" spans="1:9" x14ac:dyDescent="0.2">
      <c r="A1489" s="2">
        <v>19</v>
      </c>
      <c r="B1489" s="1" t="s">
        <v>159</v>
      </c>
      <c r="C1489" s="4">
        <v>4</v>
      </c>
      <c r="D1489" s="8">
        <v>1.54</v>
      </c>
      <c r="E1489" s="4">
        <v>2</v>
      </c>
      <c r="F1489" s="8">
        <v>1.1599999999999999</v>
      </c>
      <c r="G1489" s="4">
        <v>2</v>
      </c>
      <c r="H1489" s="8">
        <v>2.35</v>
      </c>
      <c r="I1489" s="4">
        <v>0</v>
      </c>
    </row>
    <row r="1490" spans="1:9" x14ac:dyDescent="0.2">
      <c r="A1490" s="2">
        <v>19</v>
      </c>
      <c r="B1490" s="1" t="s">
        <v>171</v>
      </c>
      <c r="C1490" s="4">
        <v>4</v>
      </c>
      <c r="D1490" s="8">
        <v>1.54</v>
      </c>
      <c r="E1490" s="4">
        <v>4</v>
      </c>
      <c r="F1490" s="8">
        <v>2.33</v>
      </c>
      <c r="G1490" s="4">
        <v>0</v>
      </c>
      <c r="H1490" s="8">
        <v>0</v>
      </c>
      <c r="I1490" s="4">
        <v>0</v>
      </c>
    </row>
    <row r="1491" spans="1:9" x14ac:dyDescent="0.2">
      <c r="A1491" s="2">
        <v>19</v>
      </c>
      <c r="B1491" s="1" t="s">
        <v>176</v>
      </c>
      <c r="C1491" s="4">
        <v>4</v>
      </c>
      <c r="D1491" s="8">
        <v>1.54</v>
      </c>
      <c r="E1491" s="4">
        <v>2</v>
      </c>
      <c r="F1491" s="8">
        <v>1.1599999999999999</v>
      </c>
      <c r="G1491" s="4">
        <v>2</v>
      </c>
      <c r="H1491" s="8">
        <v>2.35</v>
      </c>
      <c r="I1491" s="4">
        <v>0</v>
      </c>
    </row>
    <row r="1492" spans="1:9" x14ac:dyDescent="0.2">
      <c r="A1492" s="1"/>
      <c r="C1492" s="4"/>
      <c r="D1492" s="8"/>
      <c r="E1492" s="4"/>
      <c r="F1492" s="8"/>
      <c r="G1492" s="4"/>
      <c r="H1492" s="8"/>
      <c r="I1492" s="4"/>
    </row>
    <row r="1493" spans="1:9" x14ac:dyDescent="0.2">
      <c r="A1493" s="1" t="s">
        <v>65</v>
      </c>
      <c r="C1493" s="4"/>
      <c r="D1493" s="8"/>
      <c r="E1493" s="4"/>
      <c r="F1493" s="8"/>
      <c r="G1493" s="4"/>
      <c r="H1493" s="8"/>
      <c r="I1493" s="4"/>
    </row>
    <row r="1494" spans="1:9" x14ac:dyDescent="0.2">
      <c r="A1494" s="2">
        <v>1</v>
      </c>
      <c r="B1494" s="1" t="s">
        <v>159</v>
      </c>
      <c r="C1494" s="4">
        <v>24</v>
      </c>
      <c r="D1494" s="8">
        <v>6.33</v>
      </c>
      <c r="E1494" s="4">
        <v>19</v>
      </c>
      <c r="F1494" s="8">
        <v>7.42</v>
      </c>
      <c r="G1494" s="4">
        <v>5</v>
      </c>
      <c r="H1494" s="8">
        <v>4.2699999999999996</v>
      </c>
      <c r="I1494" s="4">
        <v>0</v>
      </c>
    </row>
    <row r="1495" spans="1:9" x14ac:dyDescent="0.2">
      <c r="A1495" s="2">
        <v>2</v>
      </c>
      <c r="B1495" s="1" t="s">
        <v>157</v>
      </c>
      <c r="C1495" s="4">
        <v>19</v>
      </c>
      <c r="D1495" s="8">
        <v>5.01</v>
      </c>
      <c r="E1495" s="4">
        <v>5</v>
      </c>
      <c r="F1495" s="8">
        <v>1.95</v>
      </c>
      <c r="G1495" s="4">
        <v>14</v>
      </c>
      <c r="H1495" s="8">
        <v>11.97</v>
      </c>
      <c r="I1495" s="4">
        <v>0</v>
      </c>
    </row>
    <row r="1496" spans="1:9" x14ac:dyDescent="0.2">
      <c r="A1496" s="2">
        <v>2</v>
      </c>
      <c r="B1496" s="1" t="s">
        <v>173</v>
      </c>
      <c r="C1496" s="4">
        <v>19</v>
      </c>
      <c r="D1496" s="8">
        <v>5.01</v>
      </c>
      <c r="E1496" s="4">
        <v>18</v>
      </c>
      <c r="F1496" s="8">
        <v>7.03</v>
      </c>
      <c r="G1496" s="4">
        <v>1</v>
      </c>
      <c r="H1496" s="8">
        <v>0.85</v>
      </c>
      <c r="I1496" s="4">
        <v>0</v>
      </c>
    </row>
    <row r="1497" spans="1:9" x14ac:dyDescent="0.2">
      <c r="A1497" s="2">
        <v>4</v>
      </c>
      <c r="B1497" s="1" t="s">
        <v>172</v>
      </c>
      <c r="C1497" s="4">
        <v>14</v>
      </c>
      <c r="D1497" s="8">
        <v>3.69</v>
      </c>
      <c r="E1497" s="4">
        <v>14</v>
      </c>
      <c r="F1497" s="8">
        <v>5.47</v>
      </c>
      <c r="G1497" s="4">
        <v>0</v>
      </c>
      <c r="H1497" s="8">
        <v>0</v>
      </c>
      <c r="I1497" s="4">
        <v>0</v>
      </c>
    </row>
    <row r="1498" spans="1:9" x14ac:dyDescent="0.2">
      <c r="A1498" s="2">
        <v>5</v>
      </c>
      <c r="B1498" s="1" t="s">
        <v>169</v>
      </c>
      <c r="C1498" s="4">
        <v>11</v>
      </c>
      <c r="D1498" s="8">
        <v>2.9</v>
      </c>
      <c r="E1498" s="4">
        <v>11</v>
      </c>
      <c r="F1498" s="8">
        <v>4.3</v>
      </c>
      <c r="G1498" s="4">
        <v>0</v>
      </c>
      <c r="H1498" s="8">
        <v>0</v>
      </c>
      <c r="I1498" s="4">
        <v>0</v>
      </c>
    </row>
    <row r="1499" spans="1:9" x14ac:dyDescent="0.2">
      <c r="A1499" s="2">
        <v>6</v>
      </c>
      <c r="B1499" s="1" t="s">
        <v>216</v>
      </c>
      <c r="C1499" s="4">
        <v>9</v>
      </c>
      <c r="D1499" s="8">
        <v>2.37</v>
      </c>
      <c r="E1499" s="4">
        <v>7</v>
      </c>
      <c r="F1499" s="8">
        <v>2.73</v>
      </c>
      <c r="G1499" s="4">
        <v>2</v>
      </c>
      <c r="H1499" s="8">
        <v>1.71</v>
      </c>
      <c r="I1499" s="4">
        <v>0</v>
      </c>
    </row>
    <row r="1500" spans="1:9" x14ac:dyDescent="0.2">
      <c r="A1500" s="2">
        <v>6</v>
      </c>
      <c r="B1500" s="1" t="s">
        <v>160</v>
      </c>
      <c r="C1500" s="4">
        <v>9</v>
      </c>
      <c r="D1500" s="8">
        <v>2.37</v>
      </c>
      <c r="E1500" s="4">
        <v>5</v>
      </c>
      <c r="F1500" s="8">
        <v>1.95</v>
      </c>
      <c r="G1500" s="4">
        <v>4</v>
      </c>
      <c r="H1500" s="8">
        <v>3.42</v>
      </c>
      <c r="I1500" s="4">
        <v>0</v>
      </c>
    </row>
    <row r="1501" spans="1:9" x14ac:dyDescent="0.2">
      <c r="A1501" s="2">
        <v>8</v>
      </c>
      <c r="B1501" s="1" t="s">
        <v>204</v>
      </c>
      <c r="C1501" s="4">
        <v>8</v>
      </c>
      <c r="D1501" s="8">
        <v>2.11</v>
      </c>
      <c r="E1501" s="4">
        <v>3</v>
      </c>
      <c r="F1501" s="8">
        <v>1.17</v>
      </c>
      <c r="G1501" s="4">
        <v>5</v>
      </c>
      <c r="H1501" s="8">
        <v>4.2699999999999996</v>
      </c>
      <c r="I1501" s="4">
        <v>0</v>
      </c>
    </row>
    <row r="1502" spans="1:9" x14ac:dyDescent="0.2">
      <c r="A1502" s="2">
        <v>8</v>
      </c>
      <c r="B1502" s="1" t="s">
        <v>163</v>
      </c>
      <c r="C1502" s="4">
        <v>8</v>
      </c>
      <c r="D1502" s="8">
        <v>2.11</v>
      </c>
      <c r="E1502" s="4">
        <v>4</v>
      </c>
      <c r="F1502" s="8">
        <v>1.56</v>
      </c>
      <c r="G1502" s="4">
        <v>4</v>
      </c>
      <c r="H1502" s="8">
        <v>3.42</v>
      </c>
      <c r="I1502" s="4">
        <v>0</v>
      </c>
    </row>
    <row r="1503" spans="1:9" x14ac:dyDescent="0.2">
      <c r="A1503" s="2">
        <v>8</v>
      </c>
      <c r="B1503" s="1" t="s">
        <v>205</v>
      </c>
      <c r="C1503" s="4">
        <v>8</v>
      </c>
      <c r="D1503" s="8">
        <v>2.11</v>
      </c>
      <c r="E1503" s="4">
        <v>6</v>
      </c>
      <c r="F1503" s="8">
        <v>2.34</v>
      </c>
      <c r="G1503" s="4">
        <v>2</v>
      </c>
      <c r="H1503" s="8">
        <v>1.71</v>
      </c>
      <c r="I1503" s="4">
        <v>0</v>
      </c>
    </row>
    <row r="1504" spans="1:9" x14ac:dyDescent="0.2">
      <c r="A1504" s="2">
        <v>8</v>
      </c>
      <c r="B1504" s="1" t="s">
        <v>170</v>
      </c>
      <c r="C1504" s="4">
        <v>8</v>
      </c>
      <c r="D1504" s="8">
        <v>2.11</v>
      </c>
      <c r="E1504" s="4">
        <v>8</v>
      </c>
      <c r="F1504" s="8">
        <v>3.13</v>
      </c>
      <c r="G1504" s="4">
        <v>0</v>
      </c>
      <c r="H1504" s="8">
        <v>0</v>
      </c>
      <c r="I1504" s="4">
        <v>0</v>
      </c>
    </row>
    <row r="1505" spans="1:9" x14ac:dyDescent="0.2">
      <c r="A1505" s="2">
        <v>8</v>
      </c>
      <c r="B1505" s="1" t="s">
        <v>176</v>
      </c>
      <c r="C1505" s="4">
        <v>8</v>
      </c>
      <c r="D1505" s="8">
        <v>2.11</v>
      </c>
      <c r="E1505" s="4">
        <v>8</v>
      </c>
      <c r="F1505" s="8">
        <v>3.13</v>
      </c>
      <c r="G1505" s="4">
        <v>0</v>
      </c>
      <c r="H1505" s="8">
        <v>0</v>
      </c>
      <c r="I1505" s="4">
        <v>0</v>
      </c>
    </row>
    <row r="1506" spans="1:9" x14ac:dyDescent="0.2">
      <c r="A1506" s="2">
        <v>13</v>
      </c>
      <c r="B1506" s="1" t="s">
        <v>158</v>
      </c>
      <c r="C1506" s="4">
        <v>7</v>
      </c>
      <c r="D1506" s="8">
        <v>1.85</v>
      </c>
      <c r="E1506" s="4">
        <v>1</v>
      </c>
      <c r="F1506" s="8">
        <v>0.39</v>
      </c>
      <c r="G1506" s="4">
        <v>6</v>
      </c>
      <c r="H1506" s="8">
        <v>5.13</v>
      </c>
      <c r="I1506" s="4">
        <v>0</v>
      </c>
    </row>
    <row r="1507" spans="1:9" x14ac:dyDescent="0.2">
      <c r="A1507" s="2">
        <v>14</v>
      </c>
      <c r="B1507" s="1" t="s">
        <v>206</v>
      </c>
      <c r="C1507" s="4">
        <v>6</v>
      </c>
      <c r="D1507" s="8">
        <v>1.58</v>
      </c>
      <c r="E1507" s="4">
        <v>5</v>
      </c>
      <c r="F1507" s="8">
        <v>1.95</v>
      </c>
      <c r="G1507" s="4">
        <v>1</v>
      </c>
      <c r="H1507" s="8">
        <v>0.85</v>
      </c>
      <c r="I1507" s="4">
        <v>0</v>
      </c>
    </row>
    <row r="1508" spans="1:9" x14ac:dyDescent="0.2">
      <c r="A1508" s="2">
        <v>14</v>
      </c>
      <c r="B1508" s="1" t="s">
        <v>191</v>
      </c>
      <c r="C1508" s="4">
        <v>6</v>
      </c>
      <c r="D1508" s="8">
        <v>1.58</v>
      </c>
      <c r="E1508" s="4">
        <v>6</v>
      </c>
      <c r="F1508" s="8">
        <v>2.34</v>
      </c>
      <c r="G1508" s="4">
        <v>0</v>
      </c>
      <c r="H1508" s="8">
        <v>0</v>
      </c>
      <c r="I1508" s="4">
        <v>0</v>
      </c>
    </row>
    <row r="1509" spans="1:9" x14ac:dyDescent="0.2">
      <c r="A1509" s="2">
        <v>14</v>
      </c>
      <c r="B1509" s="1" t="s">
        <v>175</v>
      </c>
      <c r="C1509" s="4">
        <v>6</v>
      </c>
      <c r="D1509" s="8">
        <v>1.58</v>
      </c>
      <c r="E1509" s="4">
        <v>6</v>
      </c>
      <c r="F1509" s="8">
        <v>2.34</v>
      </c>
      <c r="G1509" s="4">
        <v>0</v>
      </c>
      <c r="H1509" s="8">
        <v>0</v>
      </c>
      <c r="I1509" s="4">
        <v>0</v>
      </c>
    </row>
    <row r="1510" spans="1:9" x14ac:dyDescent="0.2">
      <c r="A1510" s="2">
        <v>17</v>
      </c>
      <c r="B1510" s="1" t="s">
        <v>227</v>
      </c>
      <c r="C1510" s="4">
        <v>5</v>
      </c>
      <c r="D1510" s="8">
        <v>1.32</v>
      </c>
      <c r="E1510" s="4">
        <v>5</v>
      </c>
      <c r="F1510" s="8">
        <v>1.95</v>
      </c>
      <c r="G1510" s="4">
        <v>0</v>
      </c>
      <c r="H1510" s="8">
        <v>0</v>
      </c>
      <c r="I1510" s="4">
        <v>0</v>
      </c>
    </row>
    <row r="1511" spans="1:9" x14ac:dyDescent="0.2">
      <c r="A1511" s="2">
        <v>17</v>
      </c>
      <c r="B1511" s="1" t="s">
        <v>238</v>
      </c>
      <c r="C1511" s="4">
        <v>5</v>
      </c>
      <c r="D1511" s="8">
        <v>1.32</v>
      </c>
      <c r="E1511" s="4">
        <v>4</v>
      </c>
      <c r="F1511" s="8">
        <v>1.56</v>
      </c>
      <c r="G1511" s="4">
        <v>1</v>
      </c>
      <c r="H1511" s="8">
        <v>0.85</v>
      </c>
      <c r="I1511" s="4">
        <v>0</v>
      </c>
    </row>
    <row r="1512" spans="1:9" x14ac:dyDescent="0.2">
      <c r="A1512" s="2">
        <v>17</v>
      </c>
      <c r="B1512" s="1" t="s">
        <v>239</v>
      </c>
      <c r="C1512" s="4">
        <v>5</v>
      </c>
      <c r="D1512" s="8">
        <v>1.32</v>
      </c>
      <c r="E1512" s="4">
        <v>2</v>
      </c>
      <c r="F1512" s="8">
        <v>0.78</v>
      </c>
      <c r="G1512" s="4">
        <v>3</v>
      </c>
      <c r="H1512" s="8">
        <v>2.56</v>
      </c>
      <c r="I1512" s="4">
        <v>0</v>
      </c>
    </row>
    <row r="1513" spans="1:9" x14ac:dyDescent="0.2">
      <c r="A1513" s="2">
        <v>17</v>
      </c>
      <c r="B1513" s="1" t="s">
        <v>188</v>
      </c>
      <c r="C1513" s="4">
        <v>5</v>
      </c>
      <c r="D1513" s="8">
        <v>1.32</v>
      </c>
      <c r="E1513" s="4">
        <v>3</v>
      </c>
      <c r="F1513" s="8">
        <v>1.17</v>
      </c>
      <c r="G1513" s="4">
        <v>2</v>
      </c>
      <c r="H1513" s="8">
        <v>1.71</v>
      </c>
      <c r="I1513" s="4">
        <v>0</v>
      </c>
    </row>
    <row r="1514" spans="1:9" x14ac:dyDescent="0.2">
      <c r="A1514" s="2">
        <v>17</v>
      </c>
      <c r="B1514" s="1" t="s">
        <v>162</v>
      </c>
      <c r="C1514" s="4">
        <v>5</v>
      </c>
      <c r="D1514" s="8">
        <v>1.32</v>
      </c>
      <c r="E1514" s="4">
        <v>5</v>
      </c>
      <c r="F1514" s="8">
        <v>1.95</v>
      </c>
      <c r="G1514" s="4">
        <v>0</v>
      </c>
      <c r="H1514" s="8">
        <v>0</v>
      </c>
      <c r="I1514" s="4">
        <v>0</v>
      </c>
    </row>
    <row r="1515" spans="1:9" x14ac:dyDescent="0.2">
      <c r="A1515" s="2">
        <v>17</v>
      </c>
      <c r="B1515" s="1" t="s">
        <v>203</v>
      </c>
      <c r="C1515" s="4">
        <v>5</v>
      </c>
      <c r="D1515" s="8">
        <v>1.32</v>
      </c>
      <c r="E1515" s="4">
        <v>3</v>
      </c>
      <c r="F1515" s="8">
        <v>1.17</v>
      </c>
      <c r="G1515" s="4">
        <v>2</v>
      </c>
      <c r="H1515" s="8">
        <v>1.71</v>
      </c>
      <c r="I1515" s="4">
        <v>0</v>
      </c>
    </row>
    <row r="1516" spans="1:9" x14ac:dyDescent="0.2">
      <c r="A1516" s="2">
        <v>17</v>
      </c>
      <c r="B1516" s="1" t="s">
        <v>225</v>
      </c>
      <c r="C1516" s="4">
        <v>5</v>
      </c>
      <c r="D1516" s="8">
        <v>1.32</v>
      </c>
      <c r="E1516" s="4">
        <v>5</v>
      </c>
      <c r="F1516" s="8">
        <v>1.95</v>
      </c>
      <c r="G1516" s="4">
        <v>0</v>
      </c>
      <c r="H1516" s="8">
        <v>0</v>
      </c>
      <c r="I1516" s="4">
        <v>0</v>
      </c>
    </row>
    <row r="1517" spans="1:9" x14ac:dyDescent="0.2">
      <c r="A1517" s="2">
        <v>17</v>
      </c>
      <c r="B1517" s="1" t="s">
        <v>164</v>
      </c>
      <c r="C1517" s="4">
        <v>5</v>
      </c>
      <c r="D1517" s="8">
        <v>1.32</v>
      </c>
      <c r="E1517" s="4">
        <v>5</v>
      </c>
      <c r="F1517" s="8">
        <v>1.95</v>
      </c>
      <c r="G1517" s="4">
        <v>0</v>
      </c>
      <c r="H1517" s="8">
        <v>0</v>
      </c>
      <c r="I1517" s="4">
        <v>0</v>
      </c>
    </row>
    <row r="1518" spans="1:9" x14ac:dyDescent="0.2">
      <c r="A1518" s="1"/>
      <c r="C1518" s="4"/>
      <c r="D1518" s="8"/>
      <c r="E1518" s="4"/>
      <c r="F1518" s="8"/>
      <c r="G1518" s="4"/>
      <c r="H1518" s="8"/>
      <c r="I1518" s="4"/>
    </row>
    <row r="1519" spans="1:9" x14ac:dyDescent="0.2">
      <c r="A1519" s="1" t="s">
        <v>66</v>
      </c>
      <c r="C1519" s="4"/>
      <c r="D1519" s="8"/>
      <c r="E1519" s="4"/>
      <c r="F1519" s="8"/>
      <c r="G1519" s="4"/>
      <c r="H1519" s="8"/>
      <c r="I1519" s="4"/>
    </row>
    <row r="1520" spans="1:9" x14ac:dyDescent="0.2">
      <c r="A1520" s="2">
        <v>1</v>
      </c>
      <c r="B1520" s="1" t="s">
        <v>159</v>
      </c>
      <c r="C1520" s="4">
        <v>10</v>
      </c>
      <c r="D1520" s="8">
        <v>10</v>
      </c>
      <c r="E1520" s="4">
        <v>9</v>
      </c>
      <c r="F1520" s="8">
        <v>12.86</v>
      </c>
      <c r="G1520" s="4">
        <v>1</v>
      </c>
      <c r="H1520" s="8">
        <v>4.3499999999999996</v>
      </c>
      <c r="I1520" s="4">
        <v>0</v>
      </c>
    </row>
    <row r="1521" spans="1:9" x14ac:dyDescent="0.2">
      <c r="A1521" s="2">
        <v>2</v>
      </c>
      <c r="B1521" s="1" t="s">
        <v>162</v>
      </c>
      <c r="C1521" s="4">
        <v>5</v>
      </c>
      <c r="D1521" s="8">
        <v>5</v>
      </c>
      <c r="E1521" s="4">
        <v>5</v>
      </c>
      <c r="F1521" s="8">
        <v>7.14</v>
      </c>
      <c r="G1521" s="4">
        <v>0</v>
      </c>
      <c r="H1521" s="8">
        <v>0</v>
      </c>
      <c r="I1521" s="4">
        <v>0</v>
      </c>
    </row>
    <row r="1522" spans="1:9" x14ac:dyDescent="0.2">
      <c r="A1522" s="2">
        <v>2</v>
      </c>
      <c r="B1522" s="1" t="s">
        <v>173</v>
      </c>
      <c r="C1522" s="4">
        <v>5</v>
      </c>
      <c r="D1522" s="8">
        <v>5</v>
      </c>
      <c r="E1522" s="4">
        <v>5</v>
      </c>
      <c r="F1522" s="8">
        <v>7.14</v>
      </c>
      <c r="G1522" s="4">
        <v>0</v>
      </c>
      <c r="H1522" s="8">
        <v>0</v>
      </c>
      <c r="I1522" s="4">
        <v>0</v>
      </c>
    </row>
    <row r="1523" spans="1:9" x14ac:dyDescent="0.2">
      <c r="A1523" s="2">
        <v>4</v>
      </c>
      <c r="B1523" s="1" t="s">
        <v>248</v>
      </c>
      <c r="C1523" s="4">
        <v>4</v>
      </c>
      <c r="D1523" s="8">
        <v>4</v>
      </c>
      <c r="E1523" s="4">
        <v>2</v>
      </c>
      <c r="F1523" s="8">
        <v>2.86</v>
      </c>
      <c r="G1523" s="4">
        <v>2</v>
      </c>
      <c r="H1523" s="8">
        <v>8.6999999999999993</v>
      </c>
      <c r="I1523" s="4">
        <v>0</v>
      </c>
    </row>
    <row r="1524" spans="1:9" x14ac:dyDescent="0.2">
      <c r="A1524" s="2">
        <v>4</v>
      </c>
      <c r="B1524" s="1" t="s">
        <v>164</v>
      </c>
      <c r="C1524" s="4">
        <v>4</v>
      </c>
      <c r="D1524" s="8">
        <v>4</v>
      </c>
      <c r="E1524" s="4">
        <v>4</v>
      </c>
      <c r="F1524" s="8">
        <v>5.71</v>
      </c>
      <c r="G1524" s="4">
        <v>0</v>
      </c>
      <c r="H1524" s="8">
        <v>0</v>
      </c>
      <c r="I1524" s="4">
        <v>0</v>
      </c>
    </row>
    <row r="1525" spans="1:9" x14ac:dyDescent="0.2">
      <c r="A1525" s="2">
        <v>6</v>
      </c>
      <c r="B1525" s="1" t="s">
        <v>220</v>
      </c>
      <c r="C1525" s="4">
        <v>3</v>
      </c>
      <c r="D1525" s="8">
        <v>3</v>
      </c>
      <c r="E1525" s="4">
        <v>0</v>
      </c>
      <c r="F1525" s="8">
        <v>0</v>
      </c>
      <c r="G1525" s="4">
        <v>3</v>
      </c>
      <c r="H1525" s="8">
        <v>13.04</v>
      </c>
      <c r="I1525" s="4">
        <v>0</v>
      </c>
    </row>
    <row r="1526" spans="1:9" x14ac:dyDescent="0.2">
      <c r="A1526" s="2">
        <v>6</v>
      </c>
      <c r="B1526" s="1" t="s">
        <v>169</v>
      </c>
      <c r="C1526" s="4">
        <v>3</v>
      </c>
      <c r="D1526" s="8">
        <v>3</v>
      </c>
      <c r="E1526" s="4">
        <v>3</v>
      </c>
      <c r="F1526" s="8">
        <v>4.29</v>
      </c>
      <c r="G1526" s="4">
        <v>0</v>
      </c>
      <c r="H1526" s="8">
        <v>0</v>
      </c>
      <c r="I1526" s="4">
        <v>0</v>
      </c>
    </row>
    <row r="1527" spans="1:9" x14ac:dyDescent="0.2">
      <c r="A1527" s="2">
        <v>6</v>
      </c>
      <c r="B1527" s="1" t="s">
        <v>206</v>
      </c>
      <c r="C1527" s="4">
        <v>3</v>
      </c>
      <c r="D1527" s="8">
        <v>3</v>
      </c>
      <c r="E1527" s="4">
        <v>3</v>
      </c>
      <c r="F1527" s="8">
        <v>4.29</v>
      </c>
      <c r="G1527" s="4">
        <v>0</v>
      </c>
      <c r="H1527" s="8">
        <v>0</v>
      </c>
      <c r="I1527" s="4">
        <v>0</v>
      </c>
    </row>
    <row r="1528" spans="1:9" x14ac:dyDescent="0.2">
      <c r="A1528" s="2">
        <v>6</v>
      </c>
      <c r="B1528" s="1" t="s">
        <v>176</v>
      </c>
      <c r="C1528" s="4">
        <v>3</v>
      </c>
      <c r="D1528" s="8">
        <v>3</v>
      </c>
      <c r="E1528" s="4">
        <v>2</v>
      </c>
      <c r="F1528" s="8">
        <v>2.86</v>
      </c>
      <c r="G1528" s="4">
        <v>1</v>
      </c>
      <c r="H1528" s="8">
        <v>4.3499999999999996</v>
      </c>
      <c r="I1528" s="4">
        <v>0</v>
      </c>
    </row>
    <row r="1529" spans="1:9" x14ac:dyDescent="0.2">
      <c r="A1529" s="2">
        <v>10</v>
      </c>
      <c r="B1529" s="1" t="s">
        <v>157</v>
      </c>
      <c r="C1529" s="4">
        <v>2</v>
      </c>
      <c r="D1529" s="8">
        <v>2</v>
      </c>
      <c r="E1529" s="4">
        <v>0</v>
      </c>
      <c r="F1529" s="8">
        <v>0</v>
      </c>
      <c r="G1529" s="4">
        <v>2</v>
      </c>
      <c r="H1529" s="8">
        <v>8.6999999999999993</v>
      </c>
      <c r="I1529" s="4">
        <v>0</v>
      </c>
    </row>
    <row r="1530" spans="1:9" x14ac:dyDescent="0.2">
      <c r="A1530" s="2">
        <v>10</v>
      </c>
      <c r="B1530" s="1" t="s">
        <v>160</v>
      </c>
      <c r="C1530" s="4">
        <v>2</v>
      </c>
      <c r="D1530" s="8">
        <v>2</v>
      </c>
      <c r="E1530" s="4">
        <v>2</v>
      </c>
      <c r="F1530" s="8">
        <v>2.86</v>
      </c>
      <c r="G1530" s="4">
        <v>0</v>
      </c>
      <c r="H1530" s="8">
        <v>0</v>
      </c>
      <c r="I1530" s="4">
        <v>0</v>
      </c>
    </row>
    <row r="1531" spans="1:9" x14ac:dyDescent="0.2">
      <c r="A1531" s="2">
        <v>10</v>
      </c>
      <c r="B1531" s="1" t="s">
        <v>242</v>
      </c>
      <c r="C1531" s="4">
        <v>2</v>
      </c>
      <c r="D1531" s="8">
        <v>2</v>
      </c>
      <c r="E1531" s="4">
        <v>2</v>
      </c>
      <c r="F1531" s="8">
        <v>2.86</v>
      </c>
      <c r="G1531" s="4">
        <v>0</v>
      </c>
      <c r="H1531" s="8">
        <v>0</v>
      </c>
      <c r="I1531" s="4">
        <v>0</v>
      </c>
    </row>
    <row r="1532" spans="1:9" x14ac:dyDescent="0.2">
      <c r="A1532" s="2">
        <v>10</v>
      </c>
      <c r="B1532" s="1" t="s">
        <v>200</v>
      </c>
      <c r="C1532" s="4">
        <v>2</v>
      </c>
      <c r="D1532" s="8">
        <v>2</v>
      </c>
      <c r="E1532" s="4">
        <v>1</v>
      </c>
      <c r="F1532" s="8">
        <v>1.43</v>
      </c>
      <c r="G1532" s="4">
        <v>1</v>
      </c>
      <c r="H1532" s="8">
        <v>4.3499999999999996</v>
      </c>
      <c r="I1532" s="4">
        <v>0</v>
      </c>
    </row>
    <row r="1533" spans="1:9" x14ac:dyDescent="0.2">
      <c r="A1533" s="2">
        <v>10</v>
      </c>
      <c r="B1533" s="1" t="s">
        <v>247</v>
      </c>
      <c r="C1533" s="4">
        <v>2</v>
      </c>
      <c r="D1533" s="8">
        <v>2</v>
      </c>
      <c r="E1533" s="4">
        <v>2</v>
      </c>
      <c r="F1533" s="8">
        <v>2.86</v>
      </c>
      <c r="G1533" s="4">
        <v>0</v>
      </c>
      <c r="H1533" s="8">
        <v>0</v>
      </c>
      <c r="I1533" s="4">
        <v>0</v>
      </c>
    </row>
    <row r="1534" spans="1:9" x14ac:dyDescent="0.2">
      <c r="A1534" s="2">
        <v>10</v>
      </c>
      <c r="B1534" s="1" t="s">
        <v>214</v>
      </c>
      <c r="C1534" s="4">
        <v>2</v>
      </c>
      <c r="D1534" s="8">
        <v>2</v>
      </c>
      <c r="E1534" s="4">
        <v>1</v>
      </c>
      <c r="F1534" s="8">
        <v>1.43</v>
      </c>
      <c r="G1534" s="4">
        <v>1</v>
      </c>
      <c r="H1534" s="8">
        <v>4.3499999999999996</v>
      </c>
      <c r="I1534" s="4">
        <v>0</v>
      </c>
    </row>
    <row r="1535" spans="1:9" x14ac:dyDescent="0.2">
      <c r="A1535" s="2">
        <v>10</v>
      </c>
      <c r="B1535" s="1" t="s">
        <v>225</v>
      </c>
      <c r="C1535" s="4">
        <v>2</v>
      </c>
      <c r="D1535" s="8">
        <v>2</v>
      </c>
      <c r="E1535" s="4">
        <v>2</v>
      </c>
      <c r="F1535" s="8">
        <v>2.86</v>
      </c>
      <c r="G1535" s="4">
        <v>0</v>
      </c>
      <c r="H1535" s="8">
        <v>0</v>
      </c>
      <c r="I1535" s="4">
        <v>0</v>
      </c>
    </row>
    <row r="1536" spans="1:9" x14ac:dyDescent="0.2">
      <c r="A1536" s="2">
        <v>10</v>
      </c>
      <c r="B1536" s="1" t="s">
        <v>175</v>
      </c>
      <c r="C1536" s="4">
        <v>2</v>
      </c>
      <c r="D1536" s="8">
        <v>2</v>
      </c>
      <c r="E1536" s="4">
        <v>2</v>
      </c>
      <c r="F1536" s="8">
        <v>2.86</v>
      </c>
      <c r="G1536" s="4">
        <v>0</v>
      </c>
      <c r="H1536" s="8">
        <v>0</v>
      </c>
      <c r="I1536" s="4">
        <v>0</v>
      </c>
    </row>
    <row r="1537" spans="1:9" x14ac:dyDescent="0.2">
      <c r="A1537" s="2">
        <v>10</v>
      </c>
      <c r="B1537" s="1" t="s">
        <v>196</v>
      </c>
      <c r="C1537" s="4">
        <v>2</v>
      </c>
      <c r="D1537" s="8">
        <v>2</v>
      </c>
      <c r="E1537" s="4">
        <v>0</v>
      </c>
      <c r="F1537" s="8">
        <v>0</v>
      </c>
      <c r="G1537" s="4">
        <v>0</v>
      </c>
      <c r="H1537" s="8">
        <v>0</v>
      </c>
      <c r="I1537" s="4">
        <v>0</v>
      </c>
    </row>
    <row r="1538" spans="1:9" x14ac:dyDescent="0.2">
      <c r="A1538" s="2">
        <v>10</v>
      </c>
      <c r="B1538" s="1" t="s">
        <v>260</v>
      </c>
      <c r="C1538" s="4">
        <v>2</v>
      </c>
      <c r="D1538" s="8">
        <v>2</v>
      </c>
      <c r="E1538" s="4">
        <v>0</v>
      </c>
      <c r="F1538" s="8">
        <v>0</v>
      </c>
      <c r="G1538" s="4">
        <v>1</v>
      </c>
      <c r="H1538" s="8">
        <v>4.3499999999999996</v>
      </c>
      <c r="I1538" s="4">
        <v>0</v>
      </c>
    </row>
    <row r="1539" spans="1:9" x14ac:dyDescent="0.2">
      <c r="A1539" s="2">
        <v>20</v>
      </c>
      <c r="B1539" s="1" t="s">
        <v>240</v>
      </c>
      <c r="C1539" s="4">
        <v>1</v>
      </c>
      <c r="D1539" s="8">
        <v>1</v>
      </c>
      <c r="E1539" s="4">
        <v>0</v>
      </c>
      <c r="F1539" s="8">
        <v>0</v>
      </c>
      <c r="G1539" s="4">
        <v>1</v>
      </c>
      <c r="H1539" s="8">
        <v>4.3499999999999996</v>
      </c>
      <c r="I1539" s="4">
        <v>0</v>
      </c>
    </row>
    <row r="1540" spans="1:9" x14ac:dyDescent="0.2">
      <c r="A1540" s="2">
        <v>20</v>
      </c>
      <c r="B1540" s="1" t="s">
        <v>158</v>
      </c>
      <c r="C1540" s="4">
        <v>1</v>
      </c>
      <c r="D1540" s="8">
        <v>1</v>
      </c>
      <c r="E1540" s="4">
        <v>0</v>
      </c>
      <c r="F1540" s="8">
        <v>0</v>
      </c>
      <c r="G1540" s="4">
        <v>1</v>
      </c>
      <c r="H1540" s="8">
        <v>4.3499999999999996</v>
      </c>
      <c r="I1540" s="4">
        <v>0</v>
      </c>
    </row>
    <row r="1541" spans="1:9" x14ac:dyDescent="0.2">
      <c r="A1541" s="2">
        <v>20</v>
      </c>
      <c r="B1541" s="1" t="s">
        <v>177</v>
      </c>
      <c r="C1541" s="4">
        <v>1</v>
      </c>
      <c r="D1541" s="8">
        <v>1</v>
      </c>
      <c r="E1541" s="4">
        <v>1</v>
      </c>
      <c r="F1541" s="8">
        <v>1.43</v>
      </c>
      <c r="G1541" s="4">
        <v>0</v>
      </c>
      <c r="H1541" s="8">
        <v>0</v>
      </c>
      <c r="I1541" s="4">
        <v>0</v>
      </c>
    </row>
    <row r="1542" spans="1:9" x14ac:dyDescent="0.2">
      <c r="A1542" s="2">
        <v>20</v>
      </c>
      <c r="B1542" s="1" t="s">
        <v>216</v>
      </c>
      <c r="C1542" s="4">
        <v>1</v>
      </c>
      <c r="D1542" s="8">
        <v>1</v>
      </c>
      <c r="E1542" s="4">
        <v>1</v>
      </c>
      <c r="F1542" s="8">
        <v>1.43</v>
      </c>
      <c r="G1542" s="4">
        <v>0</v>
      </c>
      <c r="H1542" s="8">
        <v>0</v>
      </c>
      <c r="I1542" s="4">
        <v>0</v>
      </c>
    </row>
    <row r="1543" spans="1:9" x14ac:dyDescent="0.2">
      <c r="A1543" s="2">
        <v>20</v>
      </c>
      <c r="B1543" s="1" t="s">
        <v>241</v>
      </c>
      <c r="C1543" s="4">
        <v>1</v>
      </c>
      <c r="D1543" s="8">
        <v>1</v>
      </c>
      <c r="E1543" s="4">
        <v>1</v>
      </c>
      <c r="F1543" s="8">
        <v>1.43</v>
      </c>
      <c r="G1543" s="4">
        <v>0</v>
      </c>
      <c r="H1543" s="8">
        <v>0</v>
      </c>
      <c r="I1543" s="4">
        <v>0</v>
      </c>
    </row>
    <row r="1544" spans="1:9" x14ac:dyDescent="0.2">
      <c r="A1544" s="2">
        <v>20</v>
      </c>
      <c r="B1544" s="1" t="s">
        <v>236</v>
      </c>
      <c r="C1544" s="4">
        <v>1</v>
      </c>
      <c r="D1544" s="8">
        <v>1</v>
      </c>
      <c r="E1544" s="4">
        <v>1</v>
      </c>
      <c r="F1544" s="8">
        <v>1.43</v>
      </c>
      <c r="G1544" s="4">
        <v>0</v>
      </c>
      <c r="H1544" s="8">
        <v>0</v>
      </c>
      <c r="I1544" s="4">
        <v>0</v>
      </c>
    </row>
    <row r="1545" spans="1:9" x14ac:dyDescent="0.2">
      <c r="A1545" s="2">
        <v>20</v>
      </c>
      <c r="B1545" s="1" t="s">
        <v>181</v>
      </c>
      <c r="C1545" s="4">
        <v>1</v>
      </c>
      <c r="D1545" s="8">
        <v>1</v>
      </c>
      <c r="E1545" s="4">
        <v>1</v>
      </c>
      <c r="F1545" s="8">
        <v>1.43</v>
      </c>
      <c r="G1545" s="4">
        <v>0</v>
      </c>
      <c r="H1545" s="8">
        <v>0</v>
      </c>
      <c r="I1545" s="4">
        <v>0</v>
      </c>
    </row>
    <row r="1546" spans="1:9" x14ac:dyDescent="0.2">
      <c r="A1546" s="2">
        <v>20</v>
      </c>
      <c r="B1546" s="1" t="s">
        <v>197</v>
      </c>
      <c r="C1546" s="4">
        <v>1</v>
      </c>
      <c r="D1546" s="8">
        <v>1</v>
      </c>
      <c r="E1546" s="4">
        <v>1</v>
      </c>
      <c r="F1546" s="8">
        <v>1.43</v>
      </c>
      <c r="G1546" s="4">
        <v>0</v>
      </c>
      <c r="H1546" s="8">
        <v>0</v>
      </c>
      <c r="I1546" s="4">
        <v>0</v>
      </c>
    </row>
    <row r="1547" spans="1:9" x14ac:dyDescent="0.2">
      <c r="A1547" s="2">
        <v>20</v>
      </c>
      <c r="B1547" s="1" t="s">
        <v>182</v>
      </c>
      <c r="C1547" s="4">
        <v>1</v>
      </c>
      <c r="D1547" s="8">
        <v>1</v>
      </c>
      <c r="E1547" s="4">
        <v>0</v>
      </c>
      <c r="F1547" s="8">
        <v>0</v>
      </c>
      <c r="G1547" s="4">
        <v>1</v>
      </c>
      <c r="H1547" s="8">
        <v>4.3499999999999996</v>
      </c>
      <c r="I1547" s="4">
        <v>0</v>
      </c>
    </row>
    <row r="1548" spans="1:9" x14ac:dyDescent="0.2">
      <c r="A1548" s="2">
        <v>20</v>
      </c>
      <c r="B1548" s="1" t="s">
        <v>238</v>
      </c>
      <c r="C1548" s="4">
        <v>1</v>
      </c>
      <c r="D1548" s="8">
        <v>1</v>
      </c>
      <c r="E1548" s="4">
        <v>1</v>
      </c>
      <c r="F1548" s="8">
        <v>1.43</v>
      </c>
      <c r="G1548" s="4">
        <v>0</v>
      </c>
      <c r="H1548" s="8">
        <v>0</v>
      </c>
      <c r="I1548" s="4">
        <v>0</v>
      </c>
    </row>
    <row r="1549" spans="1:9" x14ac:dyDescent="0.2">
      <c r="A1549" s="2">
        <v>20</v>
      </c>
      <c r="B1549" s="1" t="s">
        <v>243</v>
      </c>
      <c r="C1549" s="4">
        <v>1</v>
      </c>
      <c r="D1549" s="8">
        <v>1</v>
      </c>
      <c r="E1549" s="4">
        <v>1</v>
      </c>
      <c r="F1549" s="8">
        <v>1.43</v>
      </c>
      <c r="G1549" s="4">
        <v>0</v>
      </c>
      <c r="H1549" s="8">
        <v>0</v>
      </c>
      <c r="I1549" s="4">
        <v>0</v>
      </c>
    </row>
    <row r="1550" spans="1:9" x14ac:dyDescent="0.2">
      <c r="A1550" s="2">
        <v>20</v>
      </c>
      <c r="B1550" s="1" t="s">
        <v>211</v>
      </c>
      <c r="C1550" s="4">
        <v>1</v>
      </c>
      <c r="D1550" s="8">
        <v>1</v>
      </c>
      <c r="E1550" s="4">
        <v>1</v>
      </c>
      <c r="F1550" s="8">
        <v>1.43</v>
      </c>
      <c r="G1550" s="4">
        <v>0</v>
      </c>
      <c r="H1550" s="8">
        <v>0</v>
      </c>
      <c r="I1550" s="4">
        <v>0</v>
      </c>
    </row>
    <row r="1551" spans="1:9" x14ac:dyDescent="0.2">
      <c r="A1551" s="2">
        <v>20</v>
      </c>
      <c r="B1551" s="1" t="s">
        <v>244</v>
      </c>
      <c r="C1551" s="4">
        <v>1</v>
      </c>
      <c r="D1551" s="8">
        <v>1</v>
      </c>
      <c r="E1551" s="4">
        <v>1</v>
      </c>
      <c r="F1551" s="8">
        <v>1.43</v>
      </c>
      <c r="G1551" s="4">
        <v>0</v>
      </c>
      <c r="H1551" s="8">
        <v>0</v>
      </c>
      <c r="I1551" s="4">
        <v>0</v>
      </c>
    </row>
    <row r="1552" spans="1:9" x14ac:dyDescent="0.2">
      <c r="A1552" s="2">
        <v>20</v>
      </c>
      <c r="B1552" s="1" t="s">
        <v>245</v>
      </c>
      <c r="C1552" s="4">
        <v>1</v>
      </c>
      <c r="D1552" s="8">
        <v>1</v>
      </c>
      <c r="E1552" s="4">
        <v>1</v>
      </c>
      <c r="F1552" s="8">
        <v>1.43</v>
      </c>
      <c r="G1552" s="4">
        <v>0</v>
      </c>
      <c r="H1552" s="8">
        <v>0</v>
      </c>
      <c r="I1552" s="4">
        <v>0</v>
      </c>
    </row>
    <row r="1553" spans="1:9" x14ac:dyDescent="0.2">
      <c r="A1553" s="2">
        <v>20</v>
      </c>
      <c r="B1553" s="1" t="s">
        <v>246</v>
      </c>
      <c r="C1553" s="4">
        <v>1</v>
      </c>
      <c r="D1553" s="8">
        <v>1</v>
      </c>
      <c r="E1553" s="4">
        <v>1</v>
      </c>
      <c r="F1553" s="8">
        <v>1.43</v>
      </c>
      <c r="G1553" s="4">
        <v>0</v>
      </c>
      <c r="H1553" s="8">
        <v>0</v>
      </c>
      <c r="I1553" s="4">
        <v>0</v>
      </c>
    </row>
    <row r="1554" spans="1:9" x14ac:dyDescent="0.2">
      <c r="A1554" s="2">
        <v>20</v>
      </c>
      <c r="B1554" s="1" t="s">
        <v>212</v>
      </c>
      <c r="C1554" s="4">
        <v>1</v>
      </c>
      <c r="D1554" s="8">
        <v>1</v>
      </c>
      <c r="E1554" s="4">
        <v>1</v>
      </c>
      <c r="F1554" s="8">
        <v>1.43</v>
      </c>
      <c r="G1554" s="4">
        <v>0</v>
      </c>
      <c r="H1554" s="8">
        <v>0</v>
      </c>
      <c r="I1554" s="4">
        <v>0</v>
      </c>
    </row>
    <row r="1555" spans="1:9" x14ac:dyDescent="0.2">
      <c r="A1555" s="2">
        <v>20</v>
      </c>
      <c r="B1555" s="1" t="s">
        <v>249</v>
      </c>
      <c r="C1555" s="4">
        <v>1</v>
      </c>
      <c r="D1555" s="8">
        <v>1</v>
      </c>
      <c r="E1555" s="4">
        <v>0</v>
      </c>
      <c r="F1555" s="8">
        <v>0</v>
      </c>
      <c r="G1555" s="4">
        <v>1</v>
      </c>
      <c r="H1555" s="8">
        <v>4.3499999999999996</v>
      </c>
      <c r="I1555" s="4">
        <v>0</v>
      </c>
    </row>
    <row r="1556" spans="1:9" x14ac:dyDescent="0.2">
      <c r="A1556" s="2">
        <v>20</v>
      </c>
      <c r="B1556" s="1" t="s">
        <v>250</v>
      </c>
      <c r="C1556" s="4">
        <v>1</v>
      </c>
      <c r="D1556" s="8">
        <v>1</v>
      </c>
      <c r="E1556" s="4">
        <v>1</v>
      </c>
      <c r="F1556" s="8">
        <v>1.43</v>
      </c>
      <c r="G1556" s="4">
        <v>0</v>
      </c>
      <c r="H1556" s="8">
        <v>0</v>
      </c>
      <c r="I1556" s="4">
        <v>0</v>
      </c>
    </row>
    <row r="1557" spans="1:9" x14ac:dyDescent="0.2">
      <c r="A1557" s="2">
        <v>20</v>
      </c>
      <c r="B1557" s="1" t="s">
        <v>230</v>
      </c>
      <c r="C1557" s="4">
        <v>1</v>
      </c>
      <c r="D1557" s="8">
        <v>1</v>
      </c>
      <c r="E1557" s="4">
        <v>0</v>
      </c>
      <c r="F1557" s="8">
        <v>0</v>
      </c>
      <c r="G1557" s="4">
        <v>1</v>
      </c>
      <c r="H1557" s="8">
        <v>4.3499999999999996</v>
      </c>
      <c r="I1557" s="4">
        <v>0</v>
      </c>
    </row>
    <row r="1558" spans="1:9" x14ac:dyDescent="0.2">
      <c r="A1558" s="2">
        <v>20</v>
      </c>
      <c r="B1558" s="1" t="s">
        <v>251</v>
      </c>
      <c r="C1558" s="4">
        <v>1</v>
      </c>
      <c r="D1558" s="8">
        <v>1</v>
      </c>
      <c r="E1558" s="4">
        <v>0</v>
      </c>
      <c r="F1558" s="8">
        <v>0</v>
      </c>
      <c r="G1558" s="4">
        <v>0</v>
      </c>
      <c r="H1558" s="8">
        <v>0</v>
      </c>
      <c r="I1558" s="4">
        <v>0</v>
      </c>
    </row>
    <row r="1559" spans="1:9" x14ac:dyDescent="0.2">
      <c r="A1559" s="2">
        <v>20</v>
      </c>
      <c r="B1559" s="1" t="s">
        <v>252</v>
      </c>
      <c r="C1559" s="4">
        <v>1</v>
      </c>
      <c r="D1559" s="8">
        <v>1</v>
      </c>
      <c r="E1559" s="4">
        <v>1</v>
      </c>
      <c r="F1559" s="8">
        <v>1.43</v>
      </c>
      <c r="G1559" s="4">
        <v>0</v>
      </c>
      <c r="H1559" s="8">
        <v>0</v>
      </c>
      <c r="I1559" s="4">
        <v>0</v>
      </c>
    </row>
    <row r="1560" spans="1:9" x14ac:dyDescent="0.2">
      <c r="A1560" s="2">
        <v>20</v>
      </c>
      <c r="B1560" s="1" t="s">
        <v>253</v>
      </c>
      <c r="C1560" s="4">
        <v>1</v>
      </c>
      <c r="D1560" s="8">
        <v>1</v>
      </c>
      <c r="E1560" s="4">
        <v>0</v>
      </c>
      <c r="F1560" s="8">
        <v>0</v>
      </c>
      <c r="G1560" s="4">
        <v>1</v>
      </c>
      <c r="H1560" s="8">
        <v>4.3499999999999996</v>
      </c>
      <c r="I1560" s="4">
        <v>0</v>
      </c>
    </row>
    <row r="1561" spans="1:9" x14ac:dyDescent="0.2">
      <c r="A1561" s="2">
        <v>20</v>
      </c>
      <c r="B1561" s="1" t="s">
        <v>254</v>
      </c>
      <c r="C1561" s="4">
        <v>1</v>
      </c>
      <c r="D1561" s="8">
        <v>1</v>
      </c>
      <c r="E1561" s="4">
        <v>0</v>
      </c>
      <c r="F1561" s="8">
        <v>0</v>
      </c>
      <c r="G1561" s="4">
        <v>0</v>
      </c>
      <c r="H1561" s="8">
        <v>0</v>
      </c>
      <c r="I1561" s="4">
        <v>0</v>
      </c>
    </row>
    <row r="1562" spans="1:9" x14ac:dyDescent="0.2">
      <c r="A1562" s="2">
        <v>20</v>
      </c>
      <c r="B1562" s="1" t="s">
        <v>224</v>
      </c>
      <c r="C1562" s="4">
        <v>1</v>
      </c>
      <c r="D1562" s="8">
        <v>1</v>
      </c>
      <c r="E1562" s="4">
        <v>1</v>
      </c>
      <c r="F1562" s="8">
        <v>1.43</v>
      </c>
      <c r="G1562" s="4">
        <v>0</v>
      </c>
      <c r="H1562" s="8">
        <v>0</v>
      </c>
      <c r="I1562" s="4">
        <v>0</v>
      </c>
    </row>
    <row r="1563" spans="1:9" x14ac:dyDescent="0.2">
      <c r="A1563" s="2">
        <v>20</v>
      </c>
      <c r="B1563" s="1" t="s">
        <v>163</v>
      </c>
      <c r="C1563" s="4">
        <v>1</v>
      </c>
      <c r="D1563" s="8">
        <v>1</v>
      </c>
      <c r="E1563" s="4">
        <v>1</v>
      </c>
      <c r="F1563" s="8">
        <v>1.43</v>
      </c>
      <c r="G1563" s="4">
        <v>0</v>
      </c>
      <c r="H1563" s="8">
        <v>0</v>
      </c>
      <c r="I1563" s="4">
        <v>0</v>
      </c>
    </row>
    <row r="1564" spans="1:9" x14ac:dyDescent="0.2">
      <c r="A1564" s="2">
        <v>20</v>
      </c>
      <c r="B1564" s="1" t="s">
        <v>207</v>
      </c>
      <c r="C1564" s="4">
        <v>1</v>
      </c>
      <c r="D1564" s="8">
        <v>1</v>
      </c>
      <c r="E1564" s="4">
        <v>0</v>
      </c>
      <c r="F1564" s="8">
        <v>0</v>
      </c>
      <c r="G1564" s="4">
        <v>1</v>
      </c>
      <c r="H1564" s="8">
        <v>4.3499999999999996</v>
      </c>
      <c r="I1564" s="4">
        <v>0</v>
      </c>
    </row>
    <row r="1565" spans="1:9" x14ac:dyDescent="0.2">
      <c r="A1565" s="2">
        <v>20</v>
      </c>
      <c r="B1565" s="1" t="s">
        <v>217</v>
      </c>
      <c r="C1565" s="4">
        <v>1</v>
      </c>
      <c r="D1565" s="8">
        <v>1</v>
      </c>
      <c r="E1565" s="4">
        <v>0</v>
      </c>
      <c r="F1565" s="8">
        <v>0</v>
      </c>
      <c r="G1565" s="4">
        <v>1</v>
      </c>
      <c r="H1565" s="8">
        <v>4.3499999999999996</v>
      </c>
      <c r="I1565" s="4">
        <v>0</v>
      </c>
    </row>
    <row r="1566" spans="1:9" x14ac:dyDescent="0.2">
      <c r="A1566" s="2">
        <v>20</v>
      </c>
      <c r="B1566" s="1" t="s">
        <v>255</v>
      </c>
      <c r="C1566" s="4">
        <v>1</v>
      </c>
      <c r="D1566" s="8">
        <v>1</v>
      </c>
      <c r="E1566" s="4">
        <v>1</v>
      </c>
      <c r="F1566" s="8">
        <v>1.43</v>
      </c>
      <c r="G1566" s="4">
        <v>0</v>
      </c>
      <c r="H1566" s="8">
        <v>0</v>
      </c>
      <c r="I1566" s="4">
        <v>0</v>
      </c>
    </row>
    <row r="1567" spans="1:9" x14ac:dyDescent="0.2">
      <c r="A1567" s="2">
        <v>20</v>
      </c>
      <c r="B1567" s="1" t="s">
        <v>193</v>
      </c>
      <c r="C1567" s="4">
        <v>1</v>
      </c>
      <c r="D1567" s="8">
        <v>1</v>
      </c>
      <c r="E1567" s="4">
        <v>0</v>
      </c>
      <c r="F1567" s="8">
        <v>0</v>
      </c>
      <c r="G1567" s="4">
        <v>1</v>
      </c>
      <c r="H1567" s="8">
        <v>4.3499999999999996</v>
      </c>
      <c r="I1567" s="4">
        <v>0</v>
      </c>
    </row>
    <row r="1568" spans="1:9" x14ac:dyDescent="0.2">
      <c r="A1568" s="2">
        <v>20</v>
      </c>
      <c r="B1568" s="1" t="s">
        <v>178</v>
      </c>
      <c r="C1568" s="4">
        <v>1</v>
      </c>
      <c r="D1568" s="8">
        <v>1</v>
      </c>
      <c r="E1568" s="4">
        <v>0</v>
      </c>
      <c r="F1568" s="8">
        <v>0</v>
      </c>
      <c r="G1568" s="4">
        <v>1</v>
      </c>
      <c r="H1568" s="8">
        <v>4.3499999999999996</v>
      </c>
      <c r="I1568" s="4">
        <v>0</v>
      </c>
    </row>
    <row r="1569" spans="1:9" x14ac:dyDescent="0.2">
      <c r="A1569" s="2">
        <v>20</v>
      </c>
      <c r="B1569" s="1" t="s">
        <v>256</v>
      </c>
      <c r="C1569" s="4">
        <v>1</v>
      </c>
      <c r="D1569" s="8">
        <v>1</v>
      </c>
      <c r="E1569" s="4">
        <v>0</v>
      </c>
      <c r="F1569" s="8">
        <v>0</v>
      </c>
      <c r="G1569" s="4">
        <v>1</v>
      </c>
      <c r="H1569" s="8">
        <v>4.3499999999999996</v>
      </c>
      <c r="I1569" s="4">
        <v>0</v>
      </c>
    </row>
    <row r="1570" spans="1:9" x14ac:dyDescent="0.2">
      <c r="A1570" s="2">
        <v>20</v>
      </c>
      <c r="B1570" s="1" t="s">
        <v>205</v>
      </c>
      <c r="C1570" s="4">
        <v>1</v>
      </c>
      <c r="D1570" s="8">
        <v>1</v>
      </c>
      <c r="E1570" s="4">
        <v>1</v>
      </c>
      <c r="F1570" s="8">
        <v>1.43</v>
      </c>
      <c r="G1570" s="4">
        <v>0</v>
      </c>
      <c r="H1570" s="8">
        <v>0</v>
      </c>
      <c r="I1570" s="4">
        <v>0</v>
      </c>
    </row>
    <row r="1571" spans="1:9" x14ac:dyDescent="0.2">
      <c r="A1571" s="2">
        <v>20</v>
      </c>
      <c r="B1571" s="1" t="s">
        <v>192</v>
      </c>
      <c r="C1571" s="4">
        <v>1</v>
      </c>
      <c r="D1571" s="8">
        <v>1</v>
      </c>
      <c r="E1571" s="4">
        <v>1</v>
      </c>
      <c r="F1571" s="8">
        <v>1.43</v>
      </c>
      <c r="G1571" s="4">
        <v>0</v>
      </c>
      <c r="H1571" s="8">
        <v>0</v>
      </c>
      <c r="I1571" s="4">
        <v>0</v>
      </c>
    </row>
    <row r="1572" spans="1:9" x14ac:dyDescent="0.2">
      <c r="A1572" s="2">
        <v>20</v>
      </c>
      <c r="B1572" s="1" t="s">
        <v>172</v>
      </c>
      <c r="C1572" s="4">
        <v>1</v>
      </c>
      <c r="D1572" s="8">
        <v>1</v>
      </c>
      <c r="E1572" s="4">
        <v>1</v>
      </c>
      <c r="F1572" s="8">
        <v>1.43</v>
      </c>
      <c r="G1572" s="4">
        <v>0</v>
      </c>
      <c r="H1572" s="8">
        <v>0</v>
      </c>
      <c r="I1572" s="4">
        <v>0</v>
      </c>
    </row>
    <row r="1573" spans="1:9" x14ac:dyDescent="0.2">
      <c r="A1573" s="2">
        <v>20</v>
      </c>
      <c r="B1573" s="1" t="s">
        <v>257</v>
      </c>
      <c r="C1573" s="4">
        <v>1</v>
      </c>
      <c r="D1573" s="8">
        <v>1</v>
      </c>
      <c r="E1573" s="4">
        <v>1</v>
      </c>
      <c r="F1573" s="8">
        <v>1.43</v>
      </c>
      <c r="G1573" s="4">
        <v>0</v>
      </c>
      <c r="H1573" s="8">
        <v>0</v>
      </c>
      <c r="I1573" s="4">
        <v>0</v>
      </c>
    </row>
    <row r="1574" spans="1:9" x14ac:dyDescent="0.2">
      <c r="A1574" s="2">
        <v>20</v>
      </c>
      <c r="B1574" s="1" t="s">
        <v>258</v>
      </c>
      <c r="C1574" s="4">
        <v>1</v>
      </c>
      <c r="D1574" s="8">
        <v>1</v>
      </c>
      <c r="E1574" s="4">
        <v>1</v>
      </c>
      <c r="F1574" s="8">
        <v>1.43</v>
      </c>
      <c r="G1574" s="4">
        <v>0</v>
      </c>
      <c r="H1574" s="8">
        <v>0</v>
      </c>
      <c r="I1574" s="4">
        <v>0</v>
      </c>
    </row>
    <row r="1575" spans="1:9" x14ac:dyDescent="0.2">
      <c r="A1575" s="2">
        <v>20</v>
      </c>
      <c r="B1575" s="1" t="s">
        <v>259</v>
      </c>
      <c r="C1575" s="4">
        <v>1</v>
      </c>
      <c r="D1575" s="8">
        <v>1</v>
      </c>
      <c r="E1575" s="4">
        <v>0</v>
      </c>
      <c r="F1575" s="8">
        <v>0</v>
      </c>
      <c r="G1575" s="4">
        <v>0</v>
      </c>
      <c r="H1575" s="8">
        <v>0</v>
      </c>
      <c r="I1575" s="4">
        <v>0</v>
      </c>
    </row>
    <row r="1576" spans="1:9" x14ac:dyDescent="0.2">
      <c r="A1576" s="2">
        <v>20</v>
      </c>
      <c r="B1576" s="1" t="s">
        <v>174</v>
      </c>
      <c r="C1576" s="4">
        <v>1</v>
      </c>
      <c r="D1576" s="8">
        <v>1</v>
      </c>
      <c r="E1576" s="4">
        <v>1</v>
      </c>
      <c r="F1576" s="8">
        <v>1.43</v>
      </c>
      <c r="G1576" s="4">
        <v>0</v>
      </c>
      <c r="H1576" s="8">
        <v>0</v>
      </c>
      <c r="I1576" s="4">
        <v>0</v>
      </c>
    </row>
    <row r="1577" spans="1:9" x14ac:dyDescent="0.2">
      <c r="A1577" s="2">
        <v>20</v>
      </c>
      <c r="B1577" s="1" t="s">
        <v>222</v>
      </c>
      <c r="C1577" s="4">
        <v>1</v>
      </c>
      <c r="D1577" s="8">
        <v>1</v>
      </c>
      <c r="E1577" s="4">
        <v>1</v>
      </c>
      <c r="F1577" s="8">
        <v>1.43</v>
      </c>
      <c r="G1577" s="4">
        <v>0</v>
      </c>
      <c r="H1577" s="8">
        <v>0</v>
      </c>
      <c r="I1577" s="4">
        <v>0</v>
      </c>
    </row>
    <row r="1578" spans="1:9" x14ac:dyDescent="0.2">
      <c r="A1578" s="2">
        <v>20</v>
      </c>
      <c r="B1578" s="1" t="s">
        <v>261</v>
      </c>
      <c r="C1578" s="4">
        <v>1</v>
      </c>
      <c r="D1578" s="8">
        <v>1</v>
      </c>
      <c r="E1578" s="4">
        <v>0</v>
      </c>
      <c r="F1578" s="8">
        <v>0</v>
      </c>
      <c r="G1578" s="4">
        <v>0</v>
      </c>
      <c r="H1578" s="8">
        <v>0</v>
      </c>
      <c r="I1578" s="4">
        <v>0</v>
      </c>
    </row>
    <row r="1579" spans="1:9" x14ac:dyDescent="0.2">
      <c r="A1579" s="1"/>
      <c r="C1579" s="4"/>
      <c r="D1579" s="8"/>
      <c r="E1579" s="4"/>
      <c r="F1579" s="8"/>
      <c r="G1579" s="4"/>
      <c r="H1579" s="8"/>
      <c r="I1579" s="4"/>
    </row>
    <row r="1580" spans="1:9" x14ac:dyDescent="0.2">
      <c r="A1580" s="1" t="s">
        <v>67</v>
      </c>
      <c r="C1580" s="4"/>
      <c r="D1580" s="8"/>
      <c r="E1580" s="4"/>
      <c r="F1580" s="8"/>
      <c r="G1580" s="4"/>
      <c r="H1580" s="8"/>
      <c r="I1580" s="4"/>
    </row>
    <row r="1581" spans="1:9" x14ac:dyDescent="0.2">
      <c r="A1581" s="2">
        <v>1</v>
      </c>
      <c r="B1581" s="1" t="s">
        <v>176</v>
      </c>
      <c r="C1581" s="4">
        <v>11</v>
      </c>
      <c r="D1581" s="8">
        <v>4.68</v>
      </c>
      <c r="E1581" s="4">
        <v>10</v>
      </c>
      <c r="F1581" s="8">
        <v>8.1999999999999993</v>
      </c>
      <c r="G1581" s="4">
        <v>1</v>
      </c>
      <c r="H1581" s="8">
        <v>0.91</v>
      </c>
      <c r="I1581" s="4">
        <v>0</v>
      </c>
    </row>
    <row r="1582" spans="1:9" x14ac:dyDescent="0.2">
      <c r="A1582" s="2">
        <v>2</v>
      </c>
      <c r="B1582" s="1" t="s">
        <v>157</v>
      </c>
      <c r="C1582" s="4">
        <v>10</v>
      </c>
      <c r="D1582" s="8">
        <v>4.26</v>
      </c>
      <c r="E1582" s="4">
        <v>1</v>
      </c>
      <c r="F1582" s="8">
        <v>0.82</v>
      </c>
      <c r="G1582" s="4">
        <v>9</v>
      </c>
      <c r="H1582" s="8">
        <v>8.18</v>
      </c>
      <c r="I1582" s="4">
        <v>0</v>
      </c>
    </row>
    <row r="1583" spans="1:9" x14ac:dyDescent="0.2">
      <c r="A1583" s="2">
        <v>2</v>
      </c>
      <c r="B1583" s="1" t="s">
        <v>173</v>
      </c>
      <c r="C1583" s="4">
        <v>10</v>
      </c>
      <c r="D1583" s="8">
        <v>4.26</v>
      </c>
      <c r="E1583" s="4">
        <v>9</v>
      </c>
      <c r="F1583" s="8">
        <v>7.38</v>
      </c>
      <c r="G1583" s="4">
        <v>1</v>
      </c>
      <c r="H1583" s="8">
        <v>0.91</v>
      </c>
      <c r="I1583" s="4">
        <v>0</v>
      </c>
    </row>
    <row r="1584" spans="1:9" x14ac:dyDescent="0.2">
      <c r="A1584" s="2">
        <v>4</v>
      </c>
      <c r="B1584" s="1" t="s">
        <v>169</v>
      </c>
      <c r="C1584" s="4">
        <v>9</v>
      </c>
      <c r="D1584" s="8">
        <v>3.83</v>
      </c>
      <c r="E1584" s="4">
        <v>8</v>
      </c>
      <c r="F1584" s="8">
        <v>6.56</v>
      </c>
      <c r="G1584" s="4">
        <v>1</v>
      </c>
      <c r="H1584" s="8">
        <v>0.91</v>
      </c>
      <c r="I1584" s="4">
        <v>0</v>
      </c>
    </row>
    <row r="1585" spans="1:9" x14ac:dyDescent="0.2">
      <c r="A1585" s="2">
        <v>4</v>
      </c>
      <c r="B1585" s="1" t="s">
        <v>172</v>
      </c>
      <c r="C1585" s="4">
        <v>9</v>
      </c>
      <c r="D1585" s="8">
        <v>3.83</v>
      </c>
      <c r="E1585" s="4">
        <v>9</v>
      </c>
      <c r="F1585" s="8">
        <v>7.38</v>
      </c>
      <c r="G1585" s="4">
        <v>0</v>
      </c>
      <c r="H1585" s="8">
        <v>0</v>
      </c>
      <c r="I1585" s="4">
        <v>0</v>
      </c>
    </row>
    <row r="1586" spans="1:9" x14ac:dyDescent="0.2">
      <c r="A1586" s="2">
        <v>6</v>
      </c>
      <c r="B1586" s="1" t="s">
        <v>160</v>
      </c>
      <c r="C1586" s="4">
        <v>7</v>
      </c>
      <c r="D1586" s="8">
        <v>2.98</v>
      </c>
      <c r="E1586" s="4">
        <v>3</v>
      </c>
      <c r="F1586" s="8">
        <v>2.46</v>
      </c>
      <c r="G1586" s="4">
        <v>4</v>
      </c>
      <c r="H1586" s="8">
        <v>3.64</v>
      </c>
      <c r="I1586" s="4">
        <v>0</v>
      </c>
    </row>
    <row r="1587" spans="1:9" x14ac:dyDescent="0.2">
      <c r="A1587" s="2">
        <v>6</v>
      </c>
      <c r="B1587" s="1" t="s">
        <v>175</v>
      </c>
      <c r="C1587" s="4">
        <v>7</v>
      </c>
      <c r="D1587" s="8">
        <v>2.98</v>
      </c>
      <c r="E1587" s="4">
        <v>6</v>
      </c>
      <c r="F1587" s="8">
        <v>4.92</v>
      </c>
      <c r="G1587" s="4">
        <v>1</v>
      </c>
      <c r="H1587" s="8">
        <v>0.91</v>
      </c>
      <c r="I1587" s="4">
        <v>0</v>
      </c>
    </row>
    <row r="1588" spans="1:9" x14ac:dyDescent="0.2">
      <c r="A1588" s="2">
        <v>8</v>
      </c>
      <c r="B1588" s="1" t="s">
        <v>159</v>
      </c>
      <c r="C1588" s="4">
        <v>6</v>
      </c>
      <c r="D1588" s="8">
        <v>2.5499999999999998</v>
      </c>
      <c r="E1588" s="4">
        <v>6</v>
      </c>
      <c r="F1588" s="8">
        <v>4.92</v>
      </c>
      <c r="G1588" s="4">
        <v>0</v>
      </c>
      <c r="H1588" s="8">
        <v>0</v>
      </c>
      <c r="I1588" s="4">
        <v>0</v>
      </c>
    </row>
    <row r="1589" spans="1:9" x14ac:dyDescent="0.2">
      <c r="A1589" s="2">
        <v>8</v>
      </c>
      <c r="B1589" s="1" t="s">
        <v>161</v>
      </c>
      <c r="C1589" s="4">
        <v>6</v>
      </c>
      <c r="D1589" s="8">
        <v>2.5499999999999998</v>
      </c>
      <c r="E1589" s="4">
        <v>2</v>
      </c>
      <c r="F1589" s="8">
        <v>1.64</v>
      </c>
      <c r="G1589" s="4">
        <v>4</v>
      </c>
      <c r="H1589" s="8">
        <v>3.64</v>
      </c>
      <c r="I1589" s="4">
        <v>0</v>
      </c>
    </row>
    <row r="1590" spans="1:9" x14ac:dyDescent="0.2">
      <c r="A1590" s="2">
        <v>8</v>
      </c>
      <c r="B1590" s="1" t="s">
        <v>200</v>
      </c>
      <c r="C1590" s="4">
        <v>6</v>
      </c>
      <c r="D1590" s="8">
        <v>2.5499999999999998</v>
      </c>
      <c r="E1590" s="4">
        <v>2</v>
      </c>
      <c r="F1590" s="8">
        <v>1.64</v>
      </c>
      <c r="G1590" s="4">
        <v>4</v>
      </c>
      <c r="H1590" s="8">
        <v>3.64</v>
      </c>
      <c r="I1590" s="4">
        <v>0</v>
      </c>
    </row>
    <row r="1591" spans="1:9" x14ac:dyDescent="0.2">
      <c r="A1591" s="2">
        <v>11</v>
      </c>
      <c r="B1591" s="1" t="s">
        <v>231</v>
      </c>
      <c r="C1591" s="4">
        <v>5</v>
      </c>
      <c r="D1591" s="8">
        <v>2.13</v>
      </c>
      <c r="E1591" s="4">
        <v>2</v>
      </c>
      <c r="F1591" s="8">
        <v>1.64</v>
      </c>
      <c r="G1591" s="4">
        <v>3</v>
      </c>
      <c r="H1591" s="8">
        <v>2.73</v>
      </c>
      <c r="I1591" s="4">
        <v>0</v>
      </c>
    </row>
    <row r="1592" spans="1:9" x14ac:dyDescent="0.2">
      <c r="A1592" s="2">
        <v>12</v>
      </c>
      <c r="B1592" s="1" t="s">
        <v>177</v>
      </c>
      <c r="C1592" s="4">
        <v>4</v>
      </c>
      <c r="D1592" s="8">
        <v>1.7</v>
      </c>
      <c r="E1592" s="4">
        <v>2</v>
      </c>
      <c r="F1592" s="8">
        <v>1.64</v>
      </c>
      <c r="G1592" s="4">
        <v>2</v>
      </c>
      <c r="H1592" s="8">
        <v>1.82</v>
      </c>
      <c r="I1592" s="4">
        <v>0</v>
      </c>
    </row>
    <row r="1593" spans="1:9" x14ac:dyDescent="0.2">
      <c r="A1593" s="2">
        <v>12</v>
      </c>
      <c r="B1593" s="1" t="s">
        <v>180</v>
      </c>
      <c r="C1593" s="4">
        <v>4</v>
      </c>
      <c r="D1593" s="8">
        <v>1.7</v>
      </c>
      <c r="E1593" s="4">
        <v>3</v>
      </c>
      <c r="F1593" s="8">
        <v>2.46</v>
      </c>
      <c r="G1593" s="4">
        <v>1</v>
      </c>
      <c r="H1593" s="8">
        <v>0.91</v>
      </c>
      <c r="I1593" s="4">
        <v>0</v>
      </c>
    </row>
    <row r="1594" spans="1:9" x14ac:dyDescent="0.2">
      <c r="A1594" s="2">
        <v>12</v>
      </c>
      <c r="B1594" s="1" t="s">
        <v>262</v>
      </c>
      <c r="C1594" s="4">
        <v>4</v>
      </c>
      <c r="D1594" s="8">
        <v>1.7</v>
      </c>
      <c r="E1594" s="4">
        <v>2</v>
      </c>
      <c r="F1594" s="8">
        <v>1.64</v>
      </c>
      <c r="G1594" s="4">
        <v>2</v>
      </c>
      <c r="H1594" s="8">
        <v>1.82</v>
      </c>
      <c r="I1594" s="4">
        <v>0</v>
      </c>
    </row>
    <row r="1595" spans="1:9" x14ac:dyDescent="0.2">
      <c r="A1595" s="2">
        <v>12</v>
      </c>
      <c r="B1595" s="1" t="s">
        <v>178</v>
      </c>
      <c r="C1595" s="4">
        <v>4</v>
      </c>
      <c r="D1595" s="8">
        <v>1.7</v>
      </c>
      <c r="E1595" s="4">
        <v>1</v>
      </c>
      <c r="F1595" s="8">
        <v>0.82</v>
      </c>
      <c r="G1595" s="4">
        <v>3</v>
      </c>
      <c r="H1595" s="8">
        <v>2.73</v>
      </c>
      <c r="I1595" s="4">
        <v>0</v>
      </c>
    </row>
    <row r="1596" spans="1:9" x14ac:dyDescent="0.2">
      <c r="A1596" s="2">
        <v>12</v>
      </c>
      <c r="B1596" s="1" t="s">
        <v>170</v>
      </c>
      <c r="C1596" s="4">
        <v>4</v>
      </c>
      <c r="D1596" s="8">
        <v>1.7</v>
      </c>
      <c r="E1596" s="4">
        <v>4</v>
      </c>
      <c r="F1596" s="8">
        <v>3.28</v>
      </c>
      <c r="G1596" s="4">
        <v>0</v>
      </c>
      <c r="H1596" s="8">
        <v>0</v>
      </c>
      <c r="I1596" s="4">
        <v>0</v>
      </c>
    </row>
    <row r="1597" spans="1:9" x14ac:dyDescent="0.2">
      <c r="A1597" s="2">
        <v>12</v>
      </c>
      <c r="B1597" s="1" t="s">
        <v>192</v>
      </c>
      <c r="C1597" s="4">
        <v>4</v>
      </c>
      <c r="D1597" s="8">
        <v>1.7</v>
      </c>
      <c r="E1597" s="4">
        <v>4</v>
      </c>
      <c r="F1597" s="8">
        <v>3.28</v>
      </c>
      <c r="G1597" s="4">
        <v>0</v>
      </c>
      <c r="H1597" s="8">
        <v>0</v>
      </c>
      <c r="I1597" s="4">
        <v>0</v>
      </c>
    </row>
    <row r="1598" spans="1:9" x14ac:dyDescent="0.2">
      <c r="A1598" s="2">
        <v>18</v>
      </c>
      <c r="B1598" s="1" t="s">
        <v>158</v>
      </c>
      <c r="C1598" s="4">
        <v>3</v>
      </c>
      <c r="D1598" s="8">
        <v>1.28</v>
      </c>
      <c r="E1598" s="4">
        <v>1</v>
      </c>
      <c r="F1598" s="8">
        <v>0.82</v>
      </c>
      <c r="G1598" s="4">
        <v>2</v>
      </c>
      <c r="H1598" s="8">
        <v>1.82</v>
      </c>
      <c r="I1598" s="4">
        <v>0</v>
      </c>
    </row>
    <row r="1599" spans="1:9" x14ac:dyDescent="0.2">
      <c r="A1599" s="2">
        <v>18</v>
      </c>
      <c r="B1599" s="1" t="s">
        <v>238</v>
      </c>
      <c r="C1599" s="4">
        <v>3</v>
      </c>
      <c r="D1599" s="8">
        <v>1.28</v>
      </c>
      <c r="E1599" s="4">
        <v>1</v>
      </c>
      <c r="F1599" s="8">
        <v>0.82</v>
      </c>
      <c r="G1599" s="4">
        <v>2</v>
      </c>
      <c r="H1599" s="8">
        <v>1.82</v>
      </c>
      <c r="I1599" s="4">
        <v>0</v>
      </c>
    </row>
    <row r="1600" spans="1:9" x14ac:dyDescent="0.2">
      <c r="A1600" s="2">
        <v>18</v>
      </c>
      <c r="B1600" s="1" t="s">
        <v>263</v>
      </c>
      <c r="C1600" s="4">
        <v>3</v>
      </c>
      <c r="D1600" s="8">
        <v>1.28</v>
      </c>
      <c r="E1600" s="4">
        <v>3</v>
      </c>
      <c r="F1600" s="8">
        <v>2.46</v>
      </c>
      <c r="G1600" s="4">
        <v>0</v>
      </c>
      <c r="H1600" s="8">
        <v>0</v>
      </c>
      <c r="I1600" s="4">
        <v>0</v>
      </c>
    </row>
    <row r="1601" spans="1:9" x14ac:dyDescent="0.2">
      <c r="A1601" s="2">
        <v>18</v>
      </c>
      <c r="B1601" s="1" t="s">
        <v>163</v>
      </c>
      <c r="C1601" s="4">
        <v>3</v>
      </c>
      <c r="D1601" s="8">
        <v>1.28</v>
      </c>
      <c r="E1601" s="4">
        <v>3</v>
      </c>
      <c r="F1601" s="8">
        <v>2.46</v>
      </c>
      <c r="G1601" s="4">
        <v>0</v>
      </c>
      <c r="H1601" s="8">
        <v>0</v>
      </c>
      <c r="I1601" s="4">
        <v>0</v>
      </c>
    </row>
    <row r="1602" spans="1:9" x14ac:dyDescent="0.2">
      <c r="A1602" s="2">
        <v>18</v>
      </c>
      <c r="B1602" s="1" t="s">
        <v>207</v>
      </c>
      <c r="C1602" s="4">
        <v>3</v>
      </c>
      <c r="D1602" s="8">
        <v>1.28</v>
      </c>
      <c r="E1602" s="4">
        <v>1</v>
      </c>
      <c r="F1602" s="8">
        <v>0.82</v>
      </c>
      <c r="G1602" s="4">
        <v>2</v>
      </c>
      <c r="H1602" s="8">
        <v>1.82</v>
      </c>
      <c r="I1602" s="4">
        <v>0</v>
      </c>
    </row>
    <row r="1603" spans="1:9" x14ac:dyDescent="0.2">
      <c r="A1603" s="2">
        <v>18</v>
      </c>
      <c r="B1603" s="1" t="s">
        <v>164</v>
      </c>
      <c r="C1603" s="4">
        <v>3</v>
      </c>
      <c r="D1603" s="8">
        <v>1.28</v>
      </c>
      <c r="E1603" s="4">
        <v>2</v>
      </c>
      <c r="F1603" s="8">
        <v>1.64</v>
      </c>
      <c r="G1603" s="4">
        <v>1</v>
      </c>
      <c r="H1603" s="8">
        <v>0.91</v>
      </c>
      <c r="I1603" s="4">
        <v>0</v>
      </c>
    </row>
    <row r="1604" spans="1:9" x14ac:dyDescent="0.2">
      <c r="A1604" s="2">
        <v>18</v>
      </c>
      <c r="B1604" s="1" t="s">
        <v>218</v>
      </c>
      <c r="C1604" s="4">
        <v>3</v>
      </c>
      <c r="D1604" s="8">
        <v>1.28</v>
      </c>
      <c r="E1604" s="4">
        <v>1</v>
      </c>
      <c r="F1604" s="8">
        <v>0.82</v>
      </c>
      <c r="G1604" s="4">
        <v>2</v>
      </c>
      <c r="H1604" s="8">
        <v>1.82</v>
      </c>
      <c r="I1604" s="4">
        <v>0</v>
      </c>
    </row>
    <row r="1605" spans="1:9" x14ac:dyDescent="0.2">
      <c r="A1605" s="2">
        <v>18</v>
      </c>
      <c r="B1605" s="1" t="s">
        <v>195</v>
      </c>
      <c r="C1605" s="4">
        <v>3</v>
      </c>
      <c r="D1605" s="8">
        <v>1.28</v>
      </c>
      <c r="E1605" s="4">
        <v>3</v>
      </c>
      <c r="F1605" s="8">
        <v>2.46</v>
      </c>
      <c r="G1605" s="4">
        <v>0</v>
      </c>
      <c r="H1605" s="8">
        <v>0</v>
      </c>
      <c r="I1605" s="4">
        <v>0</v>
      </c>
    </row>
    <row r="1606" spans="1:9" x14ac:dyDescent="0.2">
      <c r="A1606" s="2">
        <v>18</v>
      </c>
      <c r="B1606" s="1" t="s">
        <v>264</v>
      </c>
      <c r="C1606" s="4">
        <v>3</v>
      </c>
      <c r="D1606" s="8">
        <v>1.28</v>
      </c>
      <c r="E1606" s="4">
        <v>0</v>
      </c>
      <c r="F1606" s="8">
        <v>0</v>
      </c>
      <c r="G1606" s="4">
        <v>3</v>
      </c>
      <c r="H1606" s="8">
        <v>2.73</v>
      </c>
      <c r="I1606" s="4">
        <v>0</v>
      </c>
    </row>
    <row r="1607" spans="1:9" x14ac:dyDescent="0.2">
      <c r="A1607" s="1"/>
      <c r="C1607" s="4"/>
      <c r="D1607" s="8"/>
      <c r="E1607" s="4"/>
      <c r="F1607" s="8"/>
      <c r="G1607" s="4"/>
      <c r="H1607" s="8"/>
      <c r="I1607" s="4"/>
    </row>
    <row r="1608" spans="1:9" x14ac:dyDescent="0.2">
      <c r="A1608" s="1" t="s">
        <v>68</v>
      </c>
      <c r="C1608" s="4"/>
      <c r="D1608" s="8"/>
      <c r="E1608" s="4"/>
      <c r="F1608" s="8"/>
      <c r="G1608" s="4"/>
      <c r="H1608" s="8"/>
      <c r="I1608" s="4"/>
    </row>
    <row r="1609" spans="1:9" x14ac:dyDescent="0.2">
      <c r="A1609" s="2">
        <v>1</v>
      </c>
      <c r="B1609" s="1" t="s">
        <v>157</v>
      </c>
      <c r="C1609" s="4">
        <v>14</v>
      </c>
      <c r="D1609" s="8">
        <v>5.6</v>
      </c>
      <c r="E1609" s="4">
        <v>3</v>
      </c>
      <c r="F1609" s="8">
        <v>2.19</v>
      </c>
      <c r="G1609" s="4">
        <v>11</v>
      </c>
      <c r="H1609" s="8">
        <v>10</v>
      </c>
      <c r="I1609" s="4">
        <v>0</v>
      </c>
    </row>
    <row r="1610" spans="1:9" x14ac:dyDescent="0.2">
      <c r="A1610" s="2">
        <v>2</v>
      </c>
      <c r="B1610" s="1" t="s">
        <v>159</v>
      </c>
      <c r="C1610" s="4">
        <v>12</v>
      </c>
      <c r="D1610" s="8">
        <v>4.8</v>
      </c>
      <c r="E1610" s="4">
        <v>11</v>
      </c>
      <c r="F1610" s="8">
        <v>8.0299999999999994</v>
      </c>
      <c r="G1610" s="4">
        <v>1</v>
      </c>
      <c r="H1610" s="8">
        <v>0.91</v>
      </c>
      <c r="I1610" s="4">
        <v>0</v>
      </c>
    </row>
    <row r="1611" spans="1:9" x14ac:dyDescent="0.2">
      <c r="A1611" s="2">
        <v>3</v>
      </c>
      <c r="B1611" s="1" t="s">
        <v>172</v>
      </c>
      <c r="C1611" s="4">
        <v>10</v>
      </c>
      <c r="D1611" s="8">
        <v>4</v>
      </c>
      <c r="E1611" s="4">
        <v>10</v>
      </c>
      <c r="F1611" s="8">
        <v>7.3</v>
      </c>
      <c r="G1611" s="4">
        <v>0</v>
      </c>
      <c r="H1611" s="8">
        <v>0</v>
      </c>
      <c r="I1611" s="4">
        <v>0</v>
      </c>
    </row>
    <row r="1612" spans="1:9" x14ac:dyDescent="0.2">
      <c r="A1612" s="2">
        <v>3</v>
      </c>
      <c r="B1612" s="1" t="s">
        <v>176</v>
      </c>
      <c r="C1612" s="4">
        <v>10</v>
      </c>
      <c r="D1612" s="8">
        <v>4</v>
      </c>
      <c r="E1612" s="4">
        <v>8</v>
      </c>
      <c r="F1612" s="8">
        <v>5.84</v>
      </c>
      <c r="G1612" s="4">
        <v>2</v>
      </c>
      <c r="H1612" s="8">
        <v>1.82</v>
      </c>
      <c r="I1612" s="4">
        <v>0</v>
      </c>
    </row>
    <row r="1613" spans="1:9" x14ac:dyDescent="0.2">
      <c r="A1613" s="2">
        <v>5</v>
      </c>
      <c r="B1613" s="1" t="s">
        <v>173</v>
      </c>
      <c r="C1613" s="4">
        <v>9</v>
      </c>
      <c r="D1613" s="8">
        <v>3.6</v>
      </c>
      <c r="E1613" s="4">
        <v>9</v>
      </c>
      <c r="F1613" s="8">
        <v>6.57</v>
      </c>
      <c r="G1613" s="4">
        <v>0</v>
      </c>
      <c r="H1613" s="8">
        <v>0</v>
      </c>
      <c r="I1613" s="4">
        <v>0</v>
      </c>
    </row>
    <row r="1614" spans="1:9" x14ac:dyDescent="0.2">
      <c r="A1614" s="2">
        <v>6</v>
      </c>
      <c r="B1614" s="1" t="s">
        <v>167</v>
      </c>
      <c r="C1614" s="4">
        <v>7</v>
      </c>
      <c r="D1614" s="8">
        <v>2.8</v>
      </c>
      <c r="E1614" s="4">
        <v>7</v>
      </c>
      <c r="F1614" s="8">
        <v>5.1100000000000003</v>
      </c>
      <c r="G1614" s="4">
        <v>0</v>
      </c>
      <c r="H1614" s="8">
        <v>0</v>
      </c>
      <c r="I1614" s="4">
        <v>0</v>
      </c>
    </row>
    <row r="1615" spans="1:9" x14ac:dyDescent="0.2">
      <c r="A1615" s="2">
        <v>6</v>
      </c>
      <c r="B1615" s="1" t="s">
        <v>169</v>
      </c>
      <c r="C1615" s="4">
        <v>7</v>
      </c>
      <c r="D1615" s="8">
        <v>2.8</v>
      </c>
      <c r="E1615" s="4">
        <v>7</v>
      </c>
      <c r="F1615" s="8">
        <v>5.1100000000000003</v>
      </c>
      <c r="G1615" s="4">
        <v>0</v>
      </c>
      <c r="H1615" s="8">
        <v>0</v>
      </c>
      <c r="I1615" s="4">
        <v>0</v>
      </c>
    </row>
    <row r="1616" spans="1:9" x14ac:dyDescent="0.2">
      <c r="A1616" s="2">
        <v>8</v>
      </c>
      <c r="B1616" s="1" t="s">
        <v>216</v>
      </c>
      <c r="C1616" s="4">
        <v>6</v>
      </c>
      <c r="D1616" s="8">
        <v>2.4</v>
      </c>
      <c r="E1616" s="4">
        <v>5</v>
      </c>
      <c r="F1616" s="8">
        <v>3.65</v>
      </c>
      <c r="G1616" s="4">
        <v>1</v>
      </c>
      <c r="H1616" s="8">
        <v>0.91</v>
      </c>
      <c r="I1616" s="4">
        <v>0</v>
      </c>
    </row>
    <row r="1617" spans="1:9" x14ac:dyDescent="0.2">
      <c r="A1617" s="2">
        <v>8</v>
      </c>
      <c r="B1617" s="1" t="s">
        <v>160</v>
      </c>
      <c r="C1617" s="4">
        <v>6</v>
      </c>
      <c r="D1617" s="8">
        <v>2.4</v>
      </c>
      <c r="E1617" s="4">
        <v>2</v>
      </c>
      <c r="F1617" s="8">
        <v>1.46</v>
      </c>
      <c r="G1617" s="4">
        <v>4</v>
      </c>
      <c r="H1617" s="8">
        <v>3.64</v>
      </c>
      <c r="I1617" s="4">
        <v>0</v>
      </c>
    </row>
    <row r="1618" spans="1:9" x14ac:dyDescent="0.2">
      <c r="A1618" s="2">
        <v>8</v>
      </c>
      <c r="B1618" s="1" t="s">
        <v>265</v>
      </c>
      <c r="C1618" s="4">
        <v>6</v>
      </c>
      <c r="D1618" s="8">
        <v>2.4</v>
      </c>
      <c r="E1618" s="4">
        <v>0</v>
      </c>
      <c r="F1618" s="8">
        <v>0</v>
      </c>
      <c r="G1618" s="4">
        <v>6</v>
      </c>
      <c r="H1618" s="8">
        <v>5.45</v>
      </c>
      <c r="I1618" s="4">
        <v>0</v>
      </c>
    </row>
    <row r="1619" spans="1:9" x14ac:dyDescent="0.2">
      <c r="A1619" s="2">
        <v>8</v>
      </c>
      <c r="B1619" s="1" t="s">
        <v>163</v>
      </c>
      <c r="C1619" s="4">
        <v>6</v>
      </c>
      <c r="D1619" s="8">
        <v>2.4</v>
      </c>
      <c r="E1619" s="4">
        <v>5</v>
      </c>
      <c r="F1619" s="8">
        <v>3.65</v>
      </c>
      <c r="G1619" s="4">
        <v>1</v>
      </c>
      <c r="H1619" s="8">
        <v>0.91</v>
      </c>
      <c r="I1619" s="4">
        <v>0</v>
      </c>
    </row>
    <row r="1620" spans="1:9" x14ac:dyDescent="0.2">
      <c r="A1620" s="2">
        <v>8</v>
      </c>
      <c r="B1620" s="1" t="s">
        <v>166</v>
      </c>
      <c r="C1620" s="4">
        <v>6</v>
      </c>
      <c r="D1620" s="8">
        <v>2.4</v>
      </c>
      <c r="E1620" s="4">
        <v>1</v>
      </c>
      <c r="F1620" s="8">
        <v>0.73</v>
      </c>
      <c r="G1620" s="4">
        <v>5</v>
      </c>
      <c r="H1620" s="8">
        <v>4.55</v>
      </c>
      <c r="I1620" s="4">
        <v>0</v>
      </c>
    </row>
    <row r="1621" spans="1:9" x14ac:dyDescent="0.2">
      <c r="A1621" s="2">
        <v>13</v>
      </c>
      <c r="B1621" s="1" t="s">
        <v>158</v>
      </c>
      <c r="C1621" s="4">
        <v>5</v>
      </c>
      <c r="D1621" s="8">
        <v>2</v>
      </c>
      <c r="E1621" s="4">
        <v>1</v>
      </c>
      <c r="F1621" s="8">
        <v>0.73</v>
      </c>
      <c r="G1621" s="4">
        <v>4</v>
      </c>
      <c r="H1621" s="8">
        <v>3.64</v>
      </c>
      <c r="I1621" s="4">
        <v>0</v>
      </c>
    </row>
    <row r="1622" spans="1:9" x14ac:dyDescent="0.2">
      <c r="A1622" s="2">
        <v>13</v>
      </c>
      <c r="B1622" s="1" t="s">
        <v>207</v>
      </c>
      <c r="C1622" s="4">
        <v>5</v>
      </c>
      <c r="D1622" s="8">
        <v>2</v>
      </c>
      <c r="E1622" s="4">
        <v>0</v>
      </c>
      <c r="F1622" s="8">
        <v>0</v>
      </c>
      <c r="G1622" s="4">
        <v>5</v>
      </c>
      <c r="H1622" s="8">
        <v>4.55</v>
      </c>
      <c r="I1622" s="4">
        <v>0</v>
      </c>
    </row>
    <row r="1623" spans="1:9" x14ac:dyDescent="0.2">
      <c r="A1623" s="2">
        <v>13</v>
      </c>
      <c r="B1623" s="1" t="s">
        <v>164</v>
      </c>
      <c r="C1623" s="4">
        <v>5</v>
      </c>
      <c r="D1623" s="8">
        <v>2</v>
      </c>
      <c r="E1623" s="4">
        <v>3</v>
      </c>
      <c r="F1623" s="8">
        <v>2.19</v>
      </c>
      <c r="G1623" s="4">
        <v>2</v>
      </c>
      <c r="H1623" s="8">
        <v>1.82</v>
      </c>
      <c r="I1623" s="4">
        <v>0</v>
      </c>
    </row>
    <row r="1624" spans="1:9" x14ac:dyDescent="0.2">
      <c r="A1624" s="2">
        <v>13</v>
      </c>
      <c r="B1624" s="1" t="s">
        <v>170</v>
      </c>
      <c r="C1624" s="4">
        <v>5</v>
      </c>
      <c r="D1624" s="8">
        <v>2</v>
      </c>
      <c r="E1624" s="4">
        <v>5</v>
      </c>
      <c r="F1624" s="8">
        <v>3.65</v>
      </c>
      <c r="G1624" s="4">
        <v>0</v>
      </c>
      <c r="H1624" s="8">
        <v>0</v>
      </c>
      <c r="I1624" s="4">
        <v>0</v>
      </c>
    </row>
    <row r="1625" spans="1:9" x14ac:dyDescent="0.2">
      <c r="A1625" s="2">
        <v>17</v>
      </c>
      <c r="B1625" s="1" t="s">
        <v>180</v>
      </c>
      <c r="C1625" s="4">
        <v>4</v>
      </c>
      <c r="D1625" s="8">
        <v>1.6</v>
      </c>
      <c r="E1625" s="4">
        <v>1</v>
      </c>
      <c r="F1625" s="8">
        <v>0.73</v>
      </c>
      <c r="G1625" s="4">
        <v>3</v>
      </c>
      <c r="H1625" s="8">
        <v>2.73</v>
      </c>
      <c r="I1625" s="4">
        <v>0</v>
      </c>
    </row>
    <row r="1626" spans="1:9" x14ac:dyDescent="0.2">
      <c r="A1626" s="2">
        <v>17</v>
      </c>
      <c r="B1626" s="1" t="s">
        <v>161</v>
      </c>
      <c r="C1626" s="4">
        <v>4</v>
      </c>
      <c r="D1626" s="8">
        <v>1.6</v>
      </c>
      <c r="E1626" s="4">
        <v>0</v>
      </c>
      <c r="F1626" s="8">
        <v>0</v>
      </c>
      <c r="G1626" s="4">
        <v>4</v>
      </c>
      <c r="H1626" s="8">
        <v>3.64</v>
      </c>
      <c r="I1626" s="4">
        <v>0</v>
      </c>
    </row>
    <row r="1627" spans="1:9" x14ac:dyDescent="0.2">
      <c r="A1627" s="2">
        <v>17</v>
      </c>
      <c r="B1627" s="1" t="s">
        <v>204</v>
      </c>
      <c r="C1627" s="4">
        <v>4</v>
      </c>
      <c r="D1627" s="8">
        <v>1.6</v>
      </c>
      <c r="E1627" s="4">
        <v>2</v>
      </c>
      <c r="F1627" s="8">
        <v>1.46</v>
      </c>
      <c r="G1627" s="4">
        <v>2</v>
      </c>
      <c r="H1627" s="8">
        <v>1.82</v>
      </c>
      <c r="I1627" s="4">
        <v>0</v>
      </c>
    </row>
    <row r="1628" spans="1:9" x14ac:dyDescent="0.2">
      <c r="A1628" s="2">
        <v>17</v>
      </c>
      <c r="B1628" s="1" t="s">
        <v>205</v>
      </c>
      <c r="C1628" s="4">
        <v>4</v>
      </c>
      <c r="D1628" s="8">
        <v>1.6</v>
      </c>
      <c r="E1628" s="4">
        <v>2</v>
      </c>
      <c r="F1628" s="8">
        <v>1.46</v>
      </c>
      <c r="G1628" s="4">
        <v>2</v>
      </c>
      <c r="H1628" s="8">
        <v>1.82</v>
      </c>
      <c r="I1628" s="4">
        <v>0</v>
      </c>
    </row>
    <row r="1629" spans="1:9" x14ac:dyDescent="0.2">
      <c r="A1629" s="2">
        <v>17</v>
      </c>
      <c r="B1629" s="1" t="s">
        <v>206</v>
      </c>
      <c r="C1629" s="4">
        <v>4</v>
      </c>
      <c r="D1629" s="8">
        <v>1.6</v>
      </c>
      <c r="E1629" s="4">
        <v>4</v>
      </c>
      <c r="F1629" s="8">
        <v>2.92</v>
      </c>
      <c r="G1629" s="4">
        <v>0</v>
      </c>
      <c r="H1629" s="8">
        <v>0</v>
      </c>
      <c r="I1629" s="4">
        <v>0</v>
      </c>
    </row>
    <row r="1630" spans="1:9" x14ac:dyDescent="0.2">
      <c r="A1630" s="1"/>
      <c r="C1630" s="4"/>
      <c r="D1630" s="8"/>
      <c r="E1630" s="4"/>
      <c r="F1630" s="8"/>
      <c r="G1630" s="4"/>
      <c r="H1630" s="8"/>
      <c r="I1630" s="4"/>
    </row>
    <row r="1631" spans="1:9" x14ac:dyDescent="0.2">
      <c r="A1631" s="1" t="s">
        <v>69</v>
      </c>
      <c r="C1631" s="4"/>
      <c r="D1631" s="8"/>
      <c r="E1631" s="4"/>
      <c r="F1631" s="8"/>
      <c r="G1631" s="4"/>
      <c r="H1631" s="8"/>
      <c r="I1631" s="4"/>
    </row>
    <row r="1632" spans="1:9" x14ac:dyDescent="0.2">
      <c r="A1632" s="2">
        <v>1</v>
      </c>
      <c r="B1632" s="1" t="s">
        <v>173</v>
      </c>
      <c r="C1632" s="4">
        <v>30</v>
      </c>
      <c r="D1632" s="8">
        <v>5.49</v>
      </c>
      <c r="E1632" s="4">
        <v>29</v>
      </c>
      <c r="F1632" s="8">
        <v>9.93</v>
      </c>
      <c r="G1632" s="4">
        <v>1</v>
      </c>
      <c r="H1632" s="8">
        <v>0.4</v>
      </c>
      <c r="I1632" s="4">
        <v>0</v>
      </c>
    </row>
    <row r="1633" spans="1:9" x14ac:dyDescent="0.2">
      <c r="A1633" s="2">
        <v>2</v>
      </c>
      <c r="B1633" s="1" t="s">
        <v>172</v>
      </c>
      <c r="C1633" s="4">
        <v>24</v>
      </c>
      <c r="D1633" s="8">
        <v>4.4000000000000004</v>
      </c>
      <c r="E1633" s="4">
        <v>22</v>
      </c>
      <c r="F1633" s="8">
        <v>7.53</v>
      </c>
      <c r="G1633" s="4">
        <v>2</v>
      </c>
      <c r="H1633" s="8">
        <v>0.81</v>
      </c>
      <c r="I1633" s="4">
        <v>0</v>
      </c>
    </row>
    <row r="1634" spans="1:9" x14ac:dyDescent="0.2">
      <c r="A1634" s="2">
        <v>3</v>
      </c>
      <c r="B1634" s="1" t="s">
        <v>159</v>
      </c>
      <c r="C1634" s="4">
        <v>18</v>
      </c>
      <c r="D1634" s="8">
        <v>3.3</v>
      </c>
      <c r="E1634" s="4">
        <v>10</v>
      </c>
      <c r="F1634" s="8">
        <v>3.42</v>
      </c>
      <c r="G1634" s="4">
        <v>8</v>
      </c>
      <c r="H1634" s="8">
        <v>3.24</v>
      </c>
      <c r="I1634" s="4">
        <v>0</v>
      </c>
    </row>
    <row r="1635" spans="1:9" x14ac:dyDescent="0.2">
      <c r="A1635" s="2">
        <v>4</v>
      </c>
      <c r="B1635" s="1" t="s">
        <v>157</v>
      </c>
      <c r="C1635" s="4">
        <v>14</v>
      </c>
      <c r="D1635" s="8">
        <v>2.56</v>
      </c>
      <c r="E1635" s="4">
        <v>4</v>
      </c>
      <c r="F1635" s="8">
        <v>1.37</v>
      </c>
      <c r="G1635" s="4">
        <v>10</v>
      </c>
      <c r="H1635" s="8">
        <v>4.05</v>
      </c>
      <c r="I1635" s="4">
        <v>0</v>
      </c>
    </row>
    <row r="1636" spans="1:9" x14ac:dyDescent="0.2">
      <c r="A1636" s="2">
        <v>4</v>
      </c>
      <c r="B1636" s="1" t="s">
        <v>158</v>
      </c>
      <c r="C1636" s="4">
        <v>14</v>
      </c>
      <c r="D1636" s="8">
        <v>2.56</v>
      </c>
      <c r="E1636" s="4">
        <v>4</v>
      </c>
      <c r="F1636" s="8">
        <v>1.37</v>
      </c>
      <c r="G1636" s="4">
        <v>10</v>
      </c>
      <c r="H1636" s="8">
        <v>4.05</v>
      </c>
      <c r="I1636" s="4">
        <v>0</v>
      </c>
    </row>
    <row r="1637" spans="1:9" x14ac:dyDescent="0.2">
      <c r="A1637" s="2">
        <v>4</v>
      </c>
      <c r="B1637" s="1" t="s">
        <v>169</v>
      </c>
      <c r="C1637" s="4">
        <v>14</v>
      </c>
      <c r="D1637" s="8">
        <v>2.56</v>
      </c>
      <c r="E1637" s="4">
        <v>9</v>
      </c>
      <c r="F1637" s="8">
        <v>3.08</v>
      </c>
      <c r="G1637" s="4">
        <v>5</v>
      </c>
      <c r="H1637" s="8">
        <v>2.02</v>
      </c>
      <c r="I1637" s="4">
        <v>0</v>
      </c>
    </row>
    <row r="1638" spans="1:9" x14ac:dyDescent="0.2">
      <c r="A1638" s="2">
        <v>4</v>
      </c>
      <c r="B1638" s="1" t="s">
        <v>176</v>
      </c>
      <c r="C1638" s="4">
        <v>14</v>
      </c>
      <c r="D1638" s="8">
        <v>2.56</v>
      </c>
      <c r="E1638" s="4">
        <v>12</v>
      </c>
      <c r="F1638" s="8">
        <v>4.1100000000000003</v>
      </c>
      <c r="G1638" s="4">
        <v>2</v>
      </c>
      <c r="H1638" s="8">
        <v>0.81</v>
      </c>
      <c r="I1638" s="4">
        <v>0</v>
      </c>
    </row>
    <row r="1639" spans="1:9" x14ac:dyDescent="0.2">
      <c r="A1639" s="2">
        <v>8</v>
      </c>
      <c r="B1639" s="1" t="s">
        <v>175</v>
      </c>
      <c r="C1639" s="4">
        <v>13</v>
      </c>
      <c r="D1639" s="8">
        <v>2.38</v>
      </c>
      <c r="E1639" s="4">
        <v>10</v>
      </c>
      <c r="F1639" s="8">
        <v>3.42</v>
      </c>
      <c r="G1639" s="4">
        <v>3</v>
      </c>
      <c r="H1639" s="8">
        <v>1.21</v>
      </c>
      <c r="I1639" s="4">
        <v>0</v>
      </c>
    </row>
    <row r="1640" spans="1:9" x14ac:dyDescent="0.2">
      <c r="A1640" s="2">
        <v>9</v>
      </c>
      <c r="B1640" s="1" t="s">
        <v>163</v>
      </c>
      <c r="C1640" s="4">
        <v>12</v>
      </c>
      <c r="D1640" s="8">
        <v>2.2000000000000002</v>
      </c>
      <c r="E1640" s="4">
        <v>7</v>
      </c>
      <c r="F1640" s="8">
        <v>2.4</v>
      </c>
      <c r="G1640" s="4">
        <v>5</v>
      </c>
      <c r="H1640" s="8">
        <v>2.02</v>
      </c>
      <c r="I1640" s="4">
        <v>0</v>
      </c>
    </row>
    <row r="1641" spans="1:9" x14ac:dyDescent="0.2">
      <c r="A1641" s="2">
        <v>10</v>
      </c>
      <c r="B1641" s="1" t="s">
        <v>167</v>
      </c>
      <c r="C1641" s="4">
        <v>11</v>
      </c>
      <c r="D1641" s="8">
        <v>2.0099999999999998</v>
      </c>
      <c r="E1641" s="4">
        <v>7</v>
      </c>
      <c r="F1641" s="8">
        <v>2.4</v>
      </c>
      <c r="G1641" s="4">
        <v>4</v>
      </c>
      <c r="H1641" s="8">
        <v>1.62</v>
      </c>
      <c r="I1641" s="4">
        <v>0</v>
      </c>
    </row>
    <row r="1642" spans="1:9" x14ac:dyDescent="0.2">
      <c r="A1642" s="2">
        <v>11</v>
      </c>
      <c r="B1642" s="1" t="s">
        <v>207</v>
      </c>
      <c r="C1642" s="4">
        <v>10</v>
      </c>
      <c r="D1642" s="8">
        <v>1.83</v>
      </c>
      <c r="E1642" s="4">
        <v>2</v>
      </c>
      <c r="F1642" s="8">
        <v>0.68</v>
      </c>
      <c r="G1642" s="4">
        <v>8</v>
      </c>
      <c r="H1642" s="8">
        <v>3.24</v>
      </c>
      <c r="I1642" s="4">
        <v>0</v>
      </c>
    </row>
    <row r="1643" spans="1:9" x14ac:dyDescent="0.2">
      <c r="A1643" s="2">
        <v>11</v>
      </c>
      <c r="B1643" s="1" t="s">
        <v>164</v>
      </c>
      <c r="C1643" s="4">
        <v>10</v>
      </c>
      <c r="D1643" s="8">
        <v>1.83</v>
      </c>
      <c r="E1643" s="4">
        <v>8</v>
      </c>
      <c r="F1643" s="8">
        <v>2.74</v>
      </c>
      <c r="G1643" s="4">
        <v>2</v>
      </c>
      <c r="H1643" s="8">
        <v>0.81</v>
      </c>
      <c r="I1643" s="4">
        <v>0</v>
      </c>
    </row>
    <row r="1644" spans="1:9" x14ac:dyDescent="0.2">
      <c r="A1644" s="2">
        <v>11</v>
      </c>
      <c r="B1644" s="1" t="s">
        <v>170</v>
      </c>
      <c r="C1644" s="4">
        <v>10</v>
      </c>
      <c r="D1644" s="8">
        <v>1.83</v>
      </c>
      <c r="E1644" s="4">
        <v>9</v>
      </c>
      <c r="F1644" s="8">
        <v>3.08</v>
      </c>
      <c r="G1644" s="4">
        <v>1</v>
      </c>
      <c r="H1644" s="8">
        <v>0.4</v>
      </c>
      <c r="I1644" s="4">
        <v>0</v>
      </c>
    </row>
    <row r="1645" spans="1:9" x14ac:dyDescent="0.2">
      <c r="A1645" s="2">
        <v>11</v>
      </c>
      <c r="B1645" s="1" t="s">
        <v>179</v>
      </c>
      <c r="C1645" s="4">
        <v>10</v>
      </c>
      <c r="D1645" s="8">
        <v>1.83</v>
      </c>
      <c r="E1645" s="4">
        <v>6</v>
      </c>
      <c r="F1645" s="8">
        <v>2.0499999999999998</v>
      </c>
      <c r="G1645" s="4">
        <v>4</v>
      </c>
      <c r="H1645" s="8">
        <v>1.62</v>
      </c>
      <c r="I1645" s="4">
        <v>0</v>
      </c>
    </row>
    <row r="1646" spans="1:9" x14ac:dyDescent="0.2">
      <c r="A1646" s="2">
        <v>15</v>
      </c>
      <c r="B1646" s="1" t="s">
        <v>185</v>
      </c>
      <c r="C1646" s="4">
        <v>9</v>
      </c>
      <c r="D1646" s="8">
        <v>1.65</v>
      </c>
      <c r="E1646" s="4">
        <v>4</v>
      </c>
      <c r="F1646" s="8">
        <v>1.37</v>
      </c>
      <c r="G1646" s="4">
        <v>5</v>
      </c>
      <c r="H1646" s="8">
        <v>2.02</v>
      </c>
      <c r="I1646" s="4">
        <v>0</v>
      </c>
    </row>
    <row r="1647" spans="1:9" x14ac:dyDescent="0.2">
      <c r="A1647" s="2">
        <v>15</v>
      </c>
      <c r="B1647" s="1" t="s">
        <v>205</v>
      </c>
      <c r="C1647" s="4">
        <v>9</v>
      </c>
      <c r="D1647" s="8">
        <v>1.65</v>
      </c>
      <c r="E1647" s="4">
        <v>7</v>
      </c>
      <c r="F1647" s="8">
        <v>2.4</v>
      </c>
      <c r="G1647" s="4">
        <v>2</v>
      </c>
      <c r="H1647" s="8">
        <v>0.81</v>
      </c>
      <c r="I1647" s="4">
        <v>0</v>
      </c>
    </row>
    <row r="1648" spans="1:9" x14ac:dyDescent="0.2">
      <c r="A1648" s="2">
        <v>17</v>
      </c>
      <c r="B1648" s="1" t="s">
        <v>161</v>
      </c>
      <c r="C1648" s="4">
        <v>8</v>
      </c>
      <c r="D1648" s="8">
        <v>1.47</v>
      </c>
      <c r="E1648" s="4">
        <v>3</v>
      </c>
      <c r="F1648" s="8">
        <v>1.03</v>
      </c>
      <c r="G1648" s="4">
        <v>5</v>
      </c>
      <c r="H1648" s="8">
        <v>2.02</v>
      </c>
      <c r="I1648" s="4">
        <v>0</v>
      </c>
    </row>
    <row r="1649" spans="1:9" x14ac:dyDescent="0.2">
      <c r="A1649" s="2">
        <v>17</v>
      </c>
      <c r="B1649" s="1" t="s">
        <v>186</v>
      </c>
      <c r="C1649" s="4">
        <v>8</v>
      </c>
      <c r="D1649" s="8">
        <v>1.47</v>
      </c>
      <c r="E1649" s="4">
        <v>3</v>
      </c>
      <c r="F1649" s="8">
        <v>1.03</v>
      </c>
      <c r="G1649" s="4">
        <v>5</v>
      </c>
      <c r="H1649" s="8">
        <v>2.02</v>
      </c>
      <c r="I1649" s="4">
        <v>0</v>
      </c>
    </row>
    <row r="1650" spans="1:9" x14ac:dyDescent="0.2">
      <c r="A1650" s="2">
        <v>17</v>
      </c>
      <c r="B1650" s="1" t="s">
        <v>162</v>
      </c>
      <c r="C1650" s="4">
        <v>8</v>
      </c>
      <c r="D1650" s="8">
        <v>1.47</v>
      </c>
      <c r="E1650" s="4">
        <v>4</v>
      </c>
      <c r="F1650" s="8">
        <v>1.37</v>
      </c>
      <c r="G1650" s="4">
        <v>4</v>
      </c>
      <c r="H1650" s="8">
        <v>1.62</v>
      </c>
      <c r="I1650" s="4">
        <v>0</v>
      </c>
    </row>
    <row r="1651" spans="1:9" x14ac:dyDescent="0.2">
      <c r="A1651" s="2">
        <v>17</v>
      </c>
      <c r="B1651" s="1" t="s">
        <v>171</v>
      </c>
      <c r="C1651" s="4">
        <v>8</v>
      </c>
      <c r="D1651" s="8">
        <v>1.47</v>
      </c>
      <c r="E1651" s="4">
        <v>4</v>
      </c>
      <c r="F1651" s="8">
        <v>1.37</v>
      </c>
      <c r="G1651" s="4">
        <v>4</v>
      </c>
      <c r="H1651" s="8">
        <v>1.62</v>
      </c>
      <c r="I1651" s="4">
        <v>0</v>
      </c>
    </row>
    <row r="1652" spans="1:9" x14ac:dyDescent="0.2">
      <c r="A1652" s="1"/>
      <c r="C1652" s="4"/>
      <c r="D1652" s="8"/>
      <c r="E1652" s="4"/>
      <c r="F1652" s="8"/>
      <c r="G1652" s="4"/>
      <c r="H1652" s="8"/>
      <c r="I1652" s="4"/>
    </row>
    <row r="1653" spans="1:9" x14ac:dyDescent="0.2">
      <c r="A1653" s="1" t="s">
        <v>70</v>
      </c>
      <c r="C1653" s="4"/>
      <c r="D1653" s="8"/>
      <c r="E1653" s="4"/>
      <c r="F1653" s="8"/>
      <c r="G1653" s="4"/>
      <c r="H1653" s="8"/>
      <c r="I1653" s="4"/>
    </row>
    <row r="1654" spans="1:9" x14ac:dyDescent="0.2">
      <c r="A1654" s="2">
        <v>1</v>
      </c>
      <c r="B1654" s="1" t="s">
        <v>173</v>
      </c>
      <c r="C1654" s="4">
        <v>39</v>
      </c>
      <c r="D1654" s="8">
        <v>5.34</v>
      </c>
      <c r="E1654" s="4">
        <v>35</v>
      </c>
      <c r="F1654" s="8">
        <v>8.25</v>
      </c>
      <c r="G1654" s="4">
        <v>4</v>
      </c>
      <c r="H1654" s="8">
        <v>1.34</v>
      </c>
      <c r="I1654" s="4">
        <v>0</v>
      </c>
    </row>
    <row r="1655" spans="1:9" x14ac:dyDescent="0.2">
      <c r="A1655" s="2">
        <v>2</v>
      </c>
      <c r="B1655" s="1" t="s">
        <v>170</v>
      </c>
      <c r="C1655" s="4">
        <v>31</v>
      </c>
      <c r="D1655" s="8">
        <v>4.24</v>
      </c>
      <c r="E1655" s="4">
        <v>30</v>
      </c>
      <c r="F1655" s="8">
        <v>7.08</v>
      </c>
      <c r="G1655" s="4">
        <v>1</v>
      </c>
      <c r="H1655" s="8">
        <v>0.33</v>
      </c>
      <c r="I1655" s="4">
        <v>0</v>
      </c>
    </row>
    <row r="1656" spans="1:9" x14ac:dyDescent="0.2">
      <c r="A1656" s="2">
        <v>3</v>
      </c>
      <c r="B1656" s="1" t="s">
        <v>172</v>
      </c>
      <c r="C1656" s="4">
        <v>26</v>
      </c>
      <c r="D1656" s="8">
        <v>3.56</v>
      </c>
      <c r="E1656" s="4">
        <v>25</v>
      </c>
      <c r="F1656" s="8">
        <v>5.9</v>
      </c>
      <c r="G1656" s="4">
        <v>1</v>
      </c>
      <c r="H1656" s="8">
        <v>0.33</v>
      </c>
      <c r="I1656" s="4">
        <v>0</v>
      </c>
    </row>
    <row r="1657" spans="1:9" x14ac:dyDescent="0.2">
      <c r="A1657" s="2">
        <v>4</v>
      </c>
      <c r="B1657" s="1" t="s">
        <v>169</v>
      </c>
      <c r="C1657" s="4">
        <v>23</v>
      </c>
      <c r="D1657" s="8">
        <v>3.15</v>
      </c>
      <c r="E1657" s="4">
        <v>19</v>
      </c>
      <c r="F1657" s="8">
        <v>4.4800000000000004</v>
      </c>
      <c r="G1657" s="4">
        <v>4</v>
      </c>
      <c r="H1657" s="8">
        <v>1.34</v>
      </c>
      <c r="I1657" s="4">
        <v>0</v>
      </c>
    </row>
    <row r="1658" spans="1:9" x14ac:dyDescent="0.2">
      <c r="A1658" s="2">
        <v>5</v>
      </c>
      <c r="B1658" s="1" t="s">
        <v>159</v>
      </c>
      <c r="C1658" s="4">
        <v>22</v>
      </c>
      <c r="D1658" s="8">
        <v>3.01</v>
      </c>
      <c r="E1658" s="4">
        <v>13</v>
      </c>
      <c r="F1658" s="8">
        <v>3.07</v>
      </c>
      <c r="G1658" s="4">
        <v>9</v>
      </c>
      <c r="H1658" s="8">
        <v>3.01</v>
      </c>
      <c r="I1658" s="4">
        <v>0</v>
      </c>
    </row>
    <row r="1659" spans="1:9" x14ac:dyDescent="0.2">
      <c r="A1659" s="2">
        <v>6</v>
      </c>
      <c r="B1659" s="1" t="s">
        <v>175</v>
      </c>
      <c r="C1659" s="4">
        <v>21</v>
      </c>
      <c r="D1659" s="8">
        <v>2.87</v>
      </c>
      <c r="E1659" s="4">
        <v>21</v>
      </c>
      <c r="F1659" s="8">
        <v>4.95</v>
      </c>
      <c r="G1659" s="4">
        <v>0</v>
      </c>
      <c r="H1659" s="8">
        <v>0</v>
      </c>
      <c r="I1659" s="4">
        <v>0</v>
      </c>
    </row>
    <row r="1660" spans="1:9" x14ac:dyDescent="0.2">
      <c r="A1660" s="2">
        <v>7</v>
      </c>
      <c r="B1660" s="1" t="s">
        <v>176</v>
      </c>
      <c r="C1660" s="4">
        <v>20</v>
      </c>
      <c r="D1660" s="8">
        <v>2.74</v>
      </c>
      <c r="E1660" s="4">
        <v>18</v>
      </c>
      <c r="F1660" s="8">
        <v>4.25</v>
      </c>
      <c r="G1660" s="4">
        <v>2</v>
      </c>
      <c r="H1660" s="8">
        <v>0.67</v>
      </c>
      <c r="I1660" s="4">
        <v>0</v>
      </c>
    </row>
    <row r="1661" spans="1:9" x14ac:dyDescent="0.2">
      <c r="A1661" s="2">
        <v>8</v>
      </c>
      <c r="B1661" s="1" t="s">
        <v>162</v>
      </c>
      <c r="C1661" s="4">
        <v>17</v>
      </c>
      <c r="D1661" s="8">
        <v>2.33</v>
      </c>
      <c r="E1661" s="4">
        <v>11</v>
      </c>
      <c r="F1661" s="8">
        <v>2.59</v>
      </c>
      <c r="G1661" s="4">
        <v>6</v>
      </c>
      <c r="H1661" s="8">
        <v>2.0099999999999998</v>
      </c>
      <c r="I1661" s="4">
        <v>0</v>
      </c>
    </row>
    <row r="1662" spans="1:9" x14ac:dyDescent="0.2">
      <c r="A1662" s="2">
        <v>9</v>
      </c>
      <c r="B1662" s="1" t="s">
        <v>163</v>
      </c>
      <c r="C1662" s="4">
        <v>16</v>
      </c>
      <c r="D1662" s="8">
        <v>2.19</v>
      </c>
      <c r="E1662" s="4">
        <v>7</v>
      </c>
      <c r="F1662" s="8">
        <v>1.65</v>
      </c>
      <c r="G1662" s="4">
        <v>9</v>
      </c>
      <c r="H1662" s="8">
        <v>3.01</v>
      </c>
      <c r="I1662" s="4">
        <v>0</v>
      </c>
    </row>
    <row r="1663" spans="1:9" x14ac:dyDescent="0.2">
      <c r="A1663" s="2">
        <v>10</v>
      </c>
      <c r="B1663" s="1" t="s">
        <v>164</v>
      </c>
      <c r="C1663" s="4">
        <v>15</v>
      </c>
      <c r="D1663" s="8">
        <v>2.0499999999999998</v>
      </c>
      <c r="E1663" s="4">
        <v>12</v>
      </c>
      <c r="F1663" s="8">
        <v>2.83</v>
      </c>
      <c r="G1663" s="4">
        <v>3</v>
      </c>
      <c r="H1663" s="8">
        <v>1</v>
      </c>
      <c r="I1663" s="4">
        <v>0</v>
      </c>
    </row>
    <row r="1664" spans="1:9" x14ac:dyDescent="0.2">
      <c r="A1664" s="2">
        <v>10</v>
      </c>
      <c r="B1664" s="1" t="s">
        <v>174</v>
      </c>
      <c r="C1664" s="4">
        <v>15</v>
      </c>
      <c r="D1664" s="8">
        <v>2.0499999999999998</v>
      </c>
      <c r="E1664" s="4">
        <v>13</v>
      </c>
      <c r="F1664" s="8">
        <v>3.07</v>
      </c>
      <c r="G1664" s="4">
        <v>2</v>
      </c>
      <c r="H1664" s="8">
        <v>0.67</v>
      </c>
      <c r="I1664" s="4">
        <v>0</v>
      </c>
    </row>
    <row r="1665" spans="1:9" x14ac:dyDescent="0.2">
      <c r="A1665" s="2">
        <v>12</v>
      </c>
      <c r="B1665" s="1" t="s">
        <v>167</v>
      </c>
      <c r="C1665" s="4">
        <v>14</v>
      </c>
      <c r="D1665" s="8">
        <v>1.92</v>
      </c>
      <c r="E1665" s="4">
        <v>5</v>
      </c>
      <c r="F1665" s="8">
        <v>1.18</v>
      </c>
      <c r="G1665" s="4">
        <v>9</v>
      </c>
      <c r="H1665" s="8">
        <v>3.01</v>
      </c>
      <c r="I1665" s="4">
        <v>0</v>
      </c>
    </row>
    <row r="1666" spans="1:9" x14ac:dyDescent="0.2">
      <c r="A1666" s="2">
        <v>12</v>
      </c>
      <c r="B1666" s="1" t="s">
        <v>178</v>
      </c>
      <c r="C1666" s="4">
        <v>14</v>
      </c>
      <c r="D1666" s="8">
        <v>1.92</v>
      </c>
      <c r="E1666" s="4">
        <v>7</v>
      </c>
      <c r="F1666" s="8">
        <v>1.65</v>
      </c>
      <c r="G1666" s="4">
        <v>7</v>
      </c>
      <c r="H1666" s="8">
        <v>2.34</v>
      </c>
      <c r="I1666" s="4">
        <v>0</v>
      </c>
    </row>
    <row r="1667" spans="1:9" x14ac:dyDescent="0.2">
      <c r="A1667" s="2">
        <v>14</v>
      </c>
      <c r="B1667" s="1" t="s">
        <v>157</v>
      </c>
      <c r="C1667" s="4">
        <v>13</v>
      </c>
      <c r="D1667" s="8">
        <v>1.78</v>
      </c>
      <c r="E1667" s="4">
        <v>4</v>
      </c>
      <c r="F1667" s="8">
        <v>0.94</v>
      </c>
      <c r="G1667" s="4">
        <v>9</v>
      </c>
      <c r="H1667" s="8">
        <v>3.01</v>
      </c>
      <c r="I1667" s="4">
        <v>0</v>
      </c>
    </row>
    <row r="1668" spans="1:9" x14ac:dyDescent="0.2">
      <c r="A1668" s="2">
        <v>15</v>
      </c>
      <c r="B1668" s="1" t="s">
        <v>160</v>
      </c>
      <c r="C1668" s="4">
        <v>12</v>
      </c>
      <c r="D1668" s="8">
        <v>1.64</v>
      </c>
      <c r="E1668" s="4">
        <v>3</v>
      </c>
      <c r="F1668" s="8">
        <v>0.71</v>
      </c>
      <c r="G1668" s="4">
        <v>9</v>
      </c>
      <c r="H1668" s="8">
        <v>3.01</v>
      </c>
      <c r="I1668" s="4">
        <v>0</v>
      </c>
    </row>
    <row r="1669" spans="1:9" x14ac:dyDescent="0.2">
      <c r="A1669" s="2">
        <v>16</v>
      </c>
      <c r="B1669" s="1" t="s">
        <v>161</v>
      </c>
      <c r="C1669" s="4">
        <v>11</v>
      </c>
      <c r="D1669" s="8">
        <v>1.5</v>
      </c>
      <c r="E1669" s="4">
        <v>3</v>
      </c>
      <c r="F1669" s="8">
        <v>0.71</v>
      </c>
      <c r="G1669" s="4">
        <v>8</v>
      </c>
      <c r="H1669" s="8">
        <v>2.68</v>
      </c>
      <c r="I1669" s="4">
        <v>0</v>
      </c>
    </row>
    <row r="1670" spans="1:9" x14ac:dyDescent="0.2">
      <c r="A1670" s="2">
        <v>16</v>
      </c>
      <c r="B1670" s="1" t="s">
        <v>218</v>
      </c>
      <c r="C1670" s="4">
        <v>11</v>
      </c>
      <c r="D1670" s="8">
        <v>1.5</v>
      </c>
      <c r="E1670" s="4">
        <v>0</v>
      </c>
      <c r="F1670" s="8">
        <v>0</v>
      </c>
      <c r="G1670" s="4">
        <v>11</v>
      </c>
      <c r="H1670" s="8">
        <v>3.68</v>
      </c>
      <c r="I1670" s="4">
        <v>0</v>
      </c>
    </row>
    <row r="1671" spans="1:9" x14ac:dyDescent="0.2">
      <c r="A1671" s="2">
        <v>18</v>
      </c>
      <c r="B1671" s="1" t="s">
        <v>205</v>
      </c>
      <c r="C1671" s="4">
        <v>10</v>
      </c>
      <c r="D1671" s="8">
        <v>1.37</v>
      </c>
      <c r="E1671" s="4">
        <v>8</v>
      </c>
      <c r="F1671" s="8">
        <v>1.89</v>
      </c>
      <c r="G1671" s="4">
        <v>2</v>
      </c>
      <c r="H1671" s="8">
        <v>0.67</v>
      </c>
      <c r="I1671" s="4">
        <v>0</v>
      </c>
    </row>
    <row r="1672" spans="1:9" x14ac:dyDescent="0.2">
      <c r="A1672" s="2">
        <v>19</v>
      </c>
      <c r="B1672" s="1" t="s">
        <v>185</v>
      </c>
      <c r="C1672" s="4">
        <v>9</v>
      </c>
      <c r="D1672" s="8">
        <v>1.23</v>
      </c>
      <c r="E1672" s="4">
        <v>5</v>
      </c>
      <c r="F1672" s="8">
        <v>1.18</v>
      </c>
      <c r="G1672" s="4">
        <v>4</v>
      </c>
      <c r="H1672" s="8">
        <v>1.34</v>
      </c>
      <c r="I1672" s="4">
        <v>0</v>
      </c>
    </row>
    <row r="1673" spans="1:9" x14ac:dyDescent="0.2">
      <c r="A1673" s="2">
        <v>19</v>
      </c>
      <c r="B1673" s="1" t="s">
        <v>191</v>
      </c>
      <c r="C1673" s="4">
        <v>9</v>
      </c>
      <c r="D1673" s="8">
        <v>1.23</v>
      </c>
      <c r="E1673" s="4">
        <v>9</v>
      </c>
      <c r="F1673" s="8">
        <v>2.12</v>
      </c>
      <c r="G1673" s="4">
        <v>0</v>
      </c>
      <c r="H1673" s="8">
        <v>0</v>
      </c>
      <c r="I1673" s="4">
        <v>0</v>
      </c>
    </row>
    <row r="1674" spans="1:9" x14ac:dyDescent="0.2">
      <c r="A1674" s="2">
        <v>19</v>
      </c>
      <c r="B1674" s="1" t="s">
        <v>171</v>
      </c>
      <c r="C1674" s="4">
        <v>9</v>
      </c>
      <c r="D1674" s="8">
        <v>1.23</v>
      </c>
      <c r="E1674" s="4">
        <v>6</v>
      </c>
      <c r="F1674" s="8">
        <v>1.42</v>
      </c>
      <c r="G1674" s="4">
        <v>3</v>
      </c>
      <c r="H1674" s="8">
        <v>1</v>
      </c>
      <c r="I1674" s="4">
        <v>0</v>
      </c>
    </row>
    <row r="1675" spans="1:9" x14ac:dyDescent="0.2">
      <c r="A1675" s="1"/>
      <c r="C1675" s="4"/>
      <c r="D1675" s="8"/>
      <c r="E1675" s="4"/>
      <c r="F1675" s="8"/>
      <c r="G1675" s="4"/>
      <c r="H1675" s="8"/>
      <c r="I1675" s="4"/>
    </row>
    <row r="1676" spans="1:9" x14ac:dyDescent="0.2">
      <c r="A1676" s="1" t="s">
        <v>71</v>
      </c>
      <c r="C1676" s="4"/>
      <c r="D1676" s="8"/>
      <c r="E1676" s="4"/>
      <c r="F1676" s="8"/>
      <c r="G1676" s="4"/>
      <c r="H1676" s="8"/>
      <c r="I1676" s="4"/>
    </row>
    <row r="1677" spans="1:9" x14ac:dyDescent="0.2">
      <c r="A1677" s="2">
        <v>1</v>
      </c>
      <c r="B1677" s="1" t="s">
        <v>167</v>
      </c>
      <c r="C1677" s="4">
        <v>72</v>
      </c>
      <c r="D1677" s="8">
        <v>10.91</v>
      </c>
      <c r="E1677" s="4">
        <v>55</v>
      </c>
      <c r="F1677" s="8">
        <v>13.1</v>
      </c>
      <c r="G1677" s="4">
        <v>17</v>
      </c>
      <c r="H1677" s="8">
        <v>7.08</v>
      </c>
      <c r="I1677" s="4">
        <v>0</v>
      </c>
    </row>
    <row r="1678" spans="1:9" x14ac:dyDescent="0.2">
      <c r="A1678" s="2">
        <v>2</v>
      </c>
      <c r="B1678" s="1" t="s">
        <v>173</v>
      </c>
      <c r="C1678" s="4">
        <v>42</v>
      </c>
      <c r="D1678" s="8">
        <v>6.36</v>
      </c>
      <c r="E1678" s="4">
        <v>38</v>
      </c>
      <c r="F1678" s="8">
        <v>9.0500000000000007</v>
      </c>
      <c r="G1678" s="4">
        <v>4</v>
      </c>
      <c r="H1678" s="8">
        <v>1.67</v>
      </c>
      <c r="I1678" s="4">
        <v>0</v>
      </c>
    </row>
    <row r="1679" spans="1:9" x14ac:dyDescent="0.2">
      <c r="A1679" s="2">
        <v>3</v>
      </c>
      <c r="B1679" s="1" t="s">
        <v>172</v>
      </c>
      <c r="C1679" s="4">
        <v>23</v>
      </c>
      <c r="D1679" s="8">
        <v>3.48</v>
      </c>
      <c r="E1679" s="4">
        <v>21</v>
      </c>
      <c r="F1679" s="8">
        <v>5</v>
      </c>
      <c r="G1679" s="4">
        <v>2</v>
      </c>
      <c r="H1679" s="8">
        <v>0.83</v>
      </c>
      <c r="I1679" s="4">
        <v>0</v>
      </c>
    </row>
    <row r="1680" spans="1:9" x14ac:dyDescent="0.2">
      <c r="A1680" s="2">
        <v>4</v>
      </c>
      <c r="B1680" s="1" t="s">
        <v>170</v>
      </c>
      <c r="C1680" s="4">
        <v>22</v>
      </c>
      <c r="D1680" s="8">
        <v>3.33</v>
      </c>
      <c r="E1680" s="4">
        <v>20</v>
      </c>
      <c r="F1680" s="8">
        <v>4.76</v>
      </c>
      <c r="G1680" s="4">
        <v>2</v>
      </c>
      <c r="H1680" s="8">
        <v>0.83</v>
      </c>
      <c r="I1680" s="4">
        <v>0</v>
      </c>
    </row>
    <row r="1681" spans="1:9" x14ac:dyDescent="0.2">
      <c r="A1681" s="2">
        <v>5</v>
      </c>
      <c r="B1681" s="1" t="s">
        <v>169</v>
      </c>
      <c r="C1681" s="4">
        <v>21</v>
      </c>
      <c r="D1681" s="8">
        <v>3.18</v>
      </c>
      <c r="E1681" s="4">
        <v>18</v>
      </c>
      <c r="F1681" s="8">
        <v>4.29</v>
      </c>
      <c r="G1681" s="4">
        <v>3</v>
      </c>
      <c r="H1681" s="8">
        <v>1.25</v>
      </c>
      <c r="I1681" s="4">
        <v>0</v>
      </c>
    </row>
    <row r="1682" spans="1:9" x14ac:dyDescent="0.2">
      <c r="A1682" s="2">
        <v>6</v>
      </c>
      <c r="B1682" s="1" t="s">
        <v>174</v>
      </c>
      <c r="C1682" s="4">
        <v>17</v>
      </c>
      <c r="D1682" s="8">
        <v>2.58</v>
      </c>
      <c r="E1682" s="4">
        <v>17</v>
      </c>
      <c r="F1682" s="8">
        <v>4.05</v>
      </c>
      <c r="G1682" s="4">
        <v>0</v>
      </c>
      <c r="H1682" s="8">
        <v>0</v>
      </c>
      <c r="I1682" s="4">
        <v>0</v>
      </c>
    </row>
    <row r="1683" spans="1:9" x14ac:dyDescent="0.2">
      <c r="A1683" s="2">
        <v>6</v>
      </c>
      <c r="B1683" s="1" t="s">
        <v>175</v>
      </c>
      <c r="C1683" s="4">
        <v>17</v>
      </c>
      <c r="D1683" s="8">
        <v>2.58</v>
      </c>
      <c r="E1683" s="4">
        <v>16</v>
      </c>
      <c r="F1683" s="8">
        <v>3.81</v>
      </c>
      <c r="G1683" s="4">
        <v>1</v>
      </c>
      <c r="H1683" s="8">
        <v>0.42</v>
      </c>
      <c r="I1683" s="4">
        <v>0</v>
      </c>
    </row>
    <row r="1684" spans="1:9" x14ac:dyDescent="0.2">
      <c r="A1684" s="2">
        <v>8</v>
      </c>
      <c r="B1684" s="1" t="s">
        <v>160</v>
      </c>
      <c r="C1684" s="4">
        <v>14</v>
      </c>
      <c r="D1684" s="8">
        <v>2.12</v>
      </c>
      <c r="E1684" s="4">
        <v>3</v>
      </c>
      <c r="F1684" s="8">
        <v>0.71</v>
      </c>
      <c r="G1684" s="4">
        <v>11</v>
      </c>
      <c r="H1684" s="8">
        <v>4.58</v>
      </c>
      <c r="I1684" s="4">
        <v>0</v>
      </c>
    </row>
    <row r="1685" spans="1:9" x14ac:dyDescent="0.2">
      <c r="A1685" s="2">
        <v>8</v>
      </c>
      <c r="B1685" s="1" t="s">
        <v>161</v>
      </c>
      <c r="C1685" s="4">
        <v>14</v>
      </c>
      <c r="D1685" s="8">
        <v>2.12</v>
      </c>
      <c r="E1685" s="4">
        <v>1</v>
      </c>
      <c r="F1685" s="8">
        <v>0.24</v>
      </c>
      <c r="G1685" s="4">
        <v>13</v>
      </c>
      <c r="H1685" s="8">
        <v>5.42</v>
      </c>
      <c r="I1685" s="4">
        <v>0</v>
      </c>
    </row>
    <row r="1686" spans="1:9" x14ac:dyDescent="0.2">
      <c r="A1686" s="2">
        <v>10</v>
      </c>
      <c r="B1686" s="1" t="s">
        <v>159</v>
      </c>
      <c r="C1686" s="4">
        <v>13</v>
      </c>
      <c r="D1686" s="8">
        <v>1.97</v>
      </c>
      <c r="E1686" s="4">
        <v>9</v>
      </c>
      <c r="F1686" s="8">
        <v>2.14</v>
      </c>
      <c r="G1686" s="4">
        <v>4</v>
      </c>
      <c r="H1686" s="8">
        <v>1.67</v>
      </c>
      <c r="I1686" s="4">
        <v>0</v>
      </c>
    </row>
    <row r="1687" spans="1:9" x14ac:dyDescent="0.2">
      <c r="A1687" s="2">
        <v>10</v>
      </c>
      <c r="B1687" s="1" t="s">
        <v>209</v>
      </c>
      <c r="C1687" s="4">
        <v>13</v>
      </c>
      <c r="D1687" s="8">
        <v>1.97</v>
      </c>
      <c r="E1687" s="4">
        <v>12</v>
      </c>
      <c r="F1687" s="8">
        <v>2.86</v>
      </c>
      <c r="G1687" s="4">
        <v>1</v>
      </c>
      <c r="H1687" s="8">
        <v>0.42</v>
      </c>
      <c r="I1687" s="4">
        <v>0</v>
      </c>
    </row>
    <row r="1688" spans="1:9" x14ac:dyDescent="0.2">
      <c r="A1688" s="2">
        <v>12</v>
      </c>
      <c r="B1688" s="1" t="s">
        <v>164</v>
      </c>
      <c r="C1688" s="4">
        <v>11</v>
      </c>
      <c r="D1688" s="8">
        <v>1.67</v>
      </c>
      <c r="E1688" s="4">
        <v>7</v>
      </c>
      <c r="F1688" s="8">
        <v>1.67</v>
      </c>
      <c r="G1688" s="4">
        <v>4</v>
      </c>
      <c r="H1688" s="8">
        <v>1.67</v>
      </c>
      <c r="I1688" s="4">
        <v>0</v>
      </c>
    </row>
    <row r="1689" spans="1:9" x14ac:dyDescent="0.2">
      <c r="A1689" s="2">
        <v>12</v>
      </c>
      <c r="B1689" s="1" t="s">
        <v>171</v>
      </c>
      <c r="C1689" s="4">
        <v>11</v>
      </c>
      <c r="D1689" s="8">
        <v>1.67</v>
      </c>
      <c r="E1689" s="4">
        <v>9</v>
      </c>
      <c r="F1689" s="8">
        <v>2.14</v>
      </c>
      <c r="G1689" s="4">
        <v>2</v>
      </c>
      <c r="H1689" s="8">
        <v>0.83</v>
      </c>
      <c r="I1689" s="4">
        <v>0</v>
      </c>
    </row>
    <row r="1690" spans="1:9" x14ac:dyDescent="0.2">
      <c r="A1690" s="2">
        <v>14</v>
      </c>
      <c r="B1690" s="1" t="s">
        <v>163</v>
      </c>
      <c r="C1690" s="4">
        <v>10</v>
      </c>
      <c r="D1690" s="8">
        <v>1.52</v>
      </c>
      <c r="E1690" s="4">
        <v>7</v>
      </c>
      <c r="F1690" s="8">
        <v>1.67</v>
      </c>
      <c r="G1690" s="4">
        <v>3</v>
      </c>
      <c r="H1690" s="8">
        <v>1.25</v>
      </c>
      <c r="I1690" s="4">
        <v>0</v>
      </c>
    </row>
    <row r="1691" spans="1:9" x14ac:dyDescent="0.2">
      <c r="A1691" s="2">
        <v>15</v>
      </c>
      <c r="B1691" s="1" t="s">
        <v>188</v>
      </c>
      <c r="C1691" s="4">
        <v>9</v>
      </c>
      <c r="D1691" s="8">
        <v>1.36</v>
      </c>
      <c r="E1691" s="4">
        <v>5</v>
      </c>
      <c r="F1691" s="8">
        <v>1.19</v>
      </c>
      <c r="G1691" s="4">
        <v>4</v>
      </c>
      <c r="H1691" s="8">
        <v>1.67</v>
      </c>
      <c r="I1691" s="4">
        <v>0</v>
      </c>
    </row>
    <row r="1692" spans="1:9" x14ac:dyDescent="0.2">
      <c r="A1692" s="2">
        <v>15</v>
      </c>
      <c r="B1692" s="1" t="s">
        <v>162</v>
      </c>
      <c r="C1692" s="4">
        <v>9</v>
      </c>
      <c r="D1692" s="8">
        <v>1.36</v>
      </c>
      <c r="E1692" s="4">
        <v>7</v>
      </c>
      <c r="F1692" s="8">
        <v>1.67</v>
      </c>
      <c r="G1692" s="4">
        <v>2</v>
      </c>
      <c r="H1692" s="8">
        <v>0.83</v>
      </c>
      <c r="I1692" s="4">
        <v>0</v>
      </c>
    </row>
    <row r="1693" spans="1:9" x14ac:dyDescent="0.2">
      <c r="A1693" s="2">
        <v>15</v>
      </c>
      <c r="B1693" s="1" t="s">
        <v>206</v>
      </c>
      <c r="C1693" s="4">
        <v>9</v>
      </c>
      <c r="D1693" s="8">
        <v>1.36</v>
      </c>
      <c r="E1693" s="4">
        <v>9</v>
      </c>
      <c r="F1693" s="8">
        <v>2.14</v>
      </c>
      <c r="G1693" s="4">
        <v>0</v>
      </c>
      <c r="H1693" s="8">
        <v>0</v>
      </c>
      <c r="I1693" s="4">
        <v>0</v>
      </c>
    </row>
    <row r="1694" spans="1:9" x14ac:dyDescent="0.2">
      <c r="A1694" s="2">
        <v>18</v>
      </c>
      <c r="B1694" s="1" t="s">
        <v>157</v>
      </c>
      <c r="C1694" s="4">
        <v>8</v>
      </c>
      <c r="D1694" s="8">
        <v>1.21</v>
      </c>
      <c r="E1694" s="4">
        <v>1</v>
      </c>
      <c r="F1694" s="8">
        <v>0.24</v>
      </c>
      <c r="G1694" s="4">
        <v>7</v>
      </c>
      <c r="H1694" s="8">
        <v>2.92</v>
      </c>
      <c r="I1694" s="4">
        <v>0</v>
      </c>
    </row>
    <row r="1695" spans="1:9" x14ac:dyDescent="0.2">
      <c r="A1695" s="2">
        <v>18</v>
      </c>
      <c r="B1695" s="1" t="s">
        <v>185</v>
      </c>
      <c r="C1695" s="4">
        <v>8</v>
      </c>
      <c r="D1695" s="8">
        <v>1.21</v>
      </c>
      <c r="E1695" s="4">
        <v>5</v>
      </c>
      <c r="F1695" s="8">
        <v>1.19</v>
      </c>
      <c r="G1695" s="4">
        <v>3</v>
      </c>
      <c r="H1695" s="8">
        <v>1.25</v>
      </c>
      <c r="I1695" s="4">
        <v>0</v>
      </c>
    </row>
    <row r="1696" spans="1:9" x14ac:dyDescent="0.2">
      <c r="A1696" s="2">
        <v>18</v>
      </c>
      <c r="B1696" s="1" t="s">
        <v>176</v>
      </c>
      <c r="C1696" s="4">
        <v>8</v>
      </c>
      <c r="D1696" s="8">
        <v>1.21</v>
      </c>
      <c r="E1696" s="4">
        <v>7</v>
      </c>
      <c r="F1696" s="8">
        <v>1.67</v>
      </c>
      <c r="G1696" s="4">
        <v>1</v>
      </c>
      <c r="H1696" s="8">
        <v>0.42</v>
      </c>
      <c r="I1696" s="4">
        <v>0</v>
      </c>
    </row>
    <row r="1697" spans="1:9" x14ac:dyDescent="0.2">
      <c r="A1697" s="1"/>
      <c r="C1697" s="4"/>
      <c r="D1697" s="8"/>
      <c r="E1697" s="4"/>
      <c r="F1697" s="8"/>
      <c r="G1697" s="4"/>
      <c r="H1697" s="8"/>
      <c r="I1697" s="4"/>
    </row>
    <row r="1698" spans="1:9" x14ac:dyDescent="0.2">
      <c r="A1698" s="1" t="s">
        <v>72</v>
      </c>
      <c r="C1698" s="4"/>
      <c r="D1698" s="8"/>
      <c r="E1698" s="4"/>
      <c r="F1698" s="8"/>
      <c r="G1698" s="4"/>
      <c r="H1698" s="8"/>
      <c r="I1698" s="4"/>
    </row>
    <row r="1699" spans="1:9" x14ac:dyDescent="0.2">
      <c r="A1699" s="2">
        <v>1</v>
      </c>
      <c r="B1699" s="1" t="s">
        <v>173</v>
      </c>
      <c r="C1699" s="4">
        <v>45</v>
      </c>
      <c r="D1699" s="8">
        <v>5.13</v>
      </c>
      <c r="E1699" s="4">
        <v>43</v>
      </c>
      <c r="F1699" s="8">
        <v>9.4499999999999993</v>
      </c>
      <c r="G1699" s="4">
        <v>2</v>
      </c>
      <c r="H1699" s="8">
        <v>0.48</v>
      </c>
      <c r="I1699" s="4">
        <v>0</v>
      </c>
    </row>
    <row r="1700" spans="1:9" x14ac:dyDescent="0.2">
      <c r="A1700" s="2">
        <v>2</v>
      </c>
      <c r="B1700" s="1" t="s">
        <v>172</v>
      </c>
      <c r="C1700" s="4">
        <v>27</v>
      </c>
      <c r="D1700" s="8">
        <v>3.08</v>
      </c>
      <c r="E1700" s="4">
        <v>27</v>
      </c>
      <c r="F1700" s="8">
        <v>5.93</v>
      </c>
      <c r="G1700" s="4">
        <v>0</v>
      </c>
      <c r="H1700" s="8">
        <v>0</v>
      </c>
      <c r="I1700" s="4">
        <v>0</v>
      </c>
    </row>
    <row r="1701" spans="1:9" x14ac:dyDescent="0.2">
      <c r="A1701" s="2">
        <v>3</v>
      </c>
      <c r="B1701" s="1" t="s">
        <v>159</v>
      </c>
      <c r="C1701" s="4">
        <v>23</v>
      </c>
      <c r="D1701" s="8">
        <v>2.62</v>
      </c>
      <c r="E1701" s="4">
        <v>15</v>
      </c>
      <c r="F1701" s="8">
        <v>3.3</v>
      </c>
      <c r="G1701" s="4">
        <v>8</v>
      </c>
      <c r="H1701" s="8">
        <v>1.93</v>
      </c>
      <c r="I1701" s="4">
        <v>0</v>
      </c>
    </row>
    <row r="1702" spans="1:9" x14ac:dyDescent="0.2">
      <c r="A1702" s="2">
        <v>3</v>
      </c>
      <c r="B1702" s="1" t="s">
        <v>163</v>
      </c>
      <c r="C1702" s="4">
        <v>23</v>
      </c>
      <c r="D1702" s="8">
        <v>2.62</v>
      </c>
      <c r="E1702" s="4">
        <v>11</v>
      </c>
      <c r="F1702" s="8">
        <v>2.42</v>
      </c>
      <c r="G1702" s="4">
        <v>12</v>
      </c>
      <c r="H1702" s="8">
        <v>2.9</v>
      </c>
      <c r="I1702" s="4">
        <v>0</v>
      </c>
    </row>
    <row r="1703" spans="1:9" x14ac:dyDescent="0.2">
      <c r="A1703" s="2">
        <v>5</v>
      </c>
      <c r="B1703" s="1" t="s">
        <v>160</v>
      </c>
      <c r="C1703" s="4">
        <v>22</v>
      </c>
      <c r="D1703" s="8">
        <v>2.5099999999999998</v>
      </c>
      <c r="E1703" s="4">
        <v>5</v>
      </c>
      <c r="F1703" s="8">
        <v>1.1000000000000001</v>
      </c>
      <c r="G1703" s="4">
        <v>17</v>
      </c>
      <c r="H1703" s="8">
        <v>4.1100000000000003</v>
      </c>
      <c r="I1703" s="4">
        <v>0</v>
      </c>
    </row>
    <row r="1704" spans="1:9" x14ac:dyDescent="0.2">
      <c r="A1704" s="2">
        <v>5</v>
      </c>
      <c r="B1704" s="1" t="s">
        <v>167</v>
      </c>
      <c r="C1704" s="4">
        <v>22</v>
      </c>
      <c r="D1704" s="8">
        <v>2.5099999999999998</v>
      </c>
      <c r="E1704" s="4">
        <v>10</v>
      </c>
      <c r="F1704" s="8">
        <v>2.2000000000000002</v>
      </c>
      <c r="G1704" s="4">
        <v>12</v>
      </c>
      <c r="H1704" s="8">
        <v>2.9</v>
      </c>
      <c r="I1704" s="4">
        <v>0</v>
      </c>
    </row>
    <row r="1705" spans="1:9" x14ac:dyDescent="0.2">
      <c r="A1705" s="2">
        <v>7</v>
      </c>
      <c r="B1705" s="1" t="s">
        <v>162</v>
      </c>
      <c r="C1705" s="4">
        <v>21</v>
      </c>
      <c r="D1705" s="8">
        <v>2.39</v>
      </c>
      <c r="E1705" s="4">
        <v>17</v>
      </c>
      <c r="F1705" s="8">
        <v>3.74</v>
      </c>
      <c r="G1705" s="4">
        <v>4</v>
      </c>
      <c r="H1705" s="8">
        <v>0.97</v>
      </c>
      <c r="I1705" s="4">
        <v>0</v>
      </c>
    </row>
    <row r="1706" spans="1:9" x14ac:dyDescent="0.2">
      <c r="A1706" s="2">
        <v>8</v>
      </c>
      <c r="B1706" s="1" t="s">
        <v>174</v>
      </c>
      <c r="C1706" s="4">
        <v>20</v>
      </c>
      <c r="D1706" s="8">
        <v>2.2799999999999998</v>
      </c>
      <c r="E1706" s="4">
        <v>16</v>
      </c>
      <c r="F1706" s="8">
        <v>3.52</v>
      </c>
      <c r="G1706" s="4">
        <v>4</v>
      </c>
      <c r="H1706" s="8">
        <v>0.97</v>
      </c>
      <c r="I1706" s="4">
        <v>0</v>
      </c>
    </row>
    <row r="1707" spans="1:9" x14ac:dyDescent="0.2">
      <c r="A1707" s="2">
        <v>9</v>
      </c>
      <c r="B1707" s="1" t="s">
        <v>161</v>
      </c>
      <c r="C1707" s="4">
        <v>19</v>
      </c>
      <c r="D1707" s="8">
        <v>2.16</v>
      </c>
      <c r="E1707" s="4">
        <v>5</v>
      </c>
      <c r="F1707" s="8">
        <v>1.1000000000000001</v>
      </c>
      <c r="G1707" s="4">
        <v>14</v>
      </c>
      <c r="H1707" s="8">
        <v>3.38</v>
      </c>
      <c r="I1707" s="4">
        <v>0</v>
      </c>
    </row>
    <row r="1708" spans="1:9" x14ac:dyDescent="0.2">
      <c r="A1708" s="2">
        <v>10</v>
      </c>
      <c r="B1708" s="1" t="s">
        <v>169</v>
      </c>
      <c r="C1708" s="4">
        <v>17</v>
      </c>
      <c r="D1708" s="8">
        <v>1.94</v>
      </c>
      <c r="E1708" s="4">
        <v>14</v>
      </c>
      <c r="F1708" s="8">
        <v>3.08</v>
      </c>
      <c r="G1708" s="4">
        <v>3</v>
      </c>
      <c r="H1708" s="8">
        <v>0.72</v>
      </c>
      <c r="I1708" s="4">
        <v>0</v>
      </c>
    </row>
    <row r="1709" spans="1:9" x14ac:dyDescent="0.2">
      <c r="A1709" s="2">
        <v>10</v>
      </c>
      <c r="B1709" s="1" t="s">
        <v>175</v>
      </c>
      <c r="C1709" s="4">
        <v>17</v>
      </c>
      <c r="D1709" s="8">
        <v>1.94</v>
      </c>
      <c r="E1709" s="4">
        <v>17</v>
      </c>
      <c r="F1709" s="8">
        <v>3.74</v>
      </c>
      <c r="G1709" s="4">
        <v>0</v>
      </c>
      <c r="H1709" s="8">
        <v>0</v>
      </c>
      <c r="I1709" s="4">
        <v>0</v>
      </c>
    </row>
    <row r="1710" spans="1:9" x14ac:dyDescent="0.2">
      <c r="A1710" s="2">
        <v>12</v>
      </c>
      <c r="B1710" s="1" t="s">
        <v>157</v>
      </c>
      <c r="C1710" s="4">
        <v>16</v>
      </c>
      <c r="D1710" s="8">
        <v>1.82</v>
      </c>
      <c r="E1710" s="4">
        <v>0</v>
      </c>
      <c r="F1710" s="8">
        <v>0</v>
      </c>
      <c r="G1710" s="4">
        <v>16</v>
      </c>
      <c r="H1710" s="8">
        <v>3.86</v>
      </c>
      <c r="I1710" s="4">
        <v>0</v>
      </c>
    </row>
    <row r="1711" spans="1:9" x14ac:dyDescent="0.2">
      <c r="A1711" s="2">
        <v>12</v>
      </c>
      <c r="B1711" s="1" t="s">
        <v>158</v>
      </c>
      <c r="C1711" s="4">
        <v>16</v>
      </c>
      <c r="D1711" s="8">
        <v>1.82</v>
      </c>
      <c r="E1711" s="4">
        <v>5</v>
      </c>
      <c r="F1711" s="8">
        <v>1.1000000000000001</v>
      </c>
      <c r="G1711" s="4">
        <v>11</v>
      </c>
      <c r="H1711" s="8">
        <v>2.66</v>
      </c>
      <c r="I1711" s="4">
        <v>0</v>
      </c>
    </row>
    <row r="1712" spans="1:9" x14ac:dyDescent="0.2">
      <c r="A1712" s="2">
        <v>14</v>
      </c>
      <c r="B1712" s="1" t="s">
        <v>182</v>
      </c>
      <c r="C1712" s="4">
        <v>15</v>
      </c>
      <c r="D1712" s="8">
        <v>1.71</v>
      </c>
      <c r="E1712" s="4">
        <v>10</v>
      </c>
      <c r="F1712" s="8">
        <v>2.2000000000000002</v>
      </c>
      <c r="G1712" s="4">
        <v>5</v>
      </c>
      <c r="H1712" s="8">
        <v>1.21</v>
      </c>
      <c r="I1712" s="4">
        <v>0</v>
      </c>
    </row>
    <row r="1713" spans="1:9" x14ac:dyDescent="0.2">
      <c r="A1713" s="2">
        <v>14</v>
      </c>
      <c r="B1713" s="1" t="s">
        <v>170</v>
      </c>
      <c r="C1713" s="4">
        <v>15</v>
      </c>
      <c r="D1713" s="8">
        <v>1.71</v>
      </c>
      <c r="E1713" s="4">
        <v>12</v>
      </c>
      <c r="F1713" s="8">
        <v>2.64</v>
      </c>
      <c r="G1713" s="4">
        <v>3</v>
      </c>
      <c r="H1713" s="8">
        <v>0.72</v>
      </c>
      <c r="I1713" s="4">
        <v>0</v>
      </c>
    </row>
    <row r="1714" spans="1:9" x14ac:dyDescent="0.2">
      <c r="A1714" s="2">
        <v>16</v>
      </c>
      <c r="B1714" s="1" t="s">
        <v>164</v>
      </c>
      <c r="C1714" s="4">
        <v>13</v>
      </c>
      <c r="D1714" s="8">
        <v>1.48</v>
      </c>
      <c r="E1714" s="4">
        <v>9</v>
      </c>
      <c r="F1714" s="8">
        <v>1.98</v>
      </c>
      <c r="G1714" s="4">
        <v>4</v>
      </c>
      <c r="H1714" s="8">
        <v>0.97</v>
      </c>
      <c r="I1714" s="4">
        <v>0</v>
      </c>
    </row>
    <row r="1715" spans="1:9" x14ac:dyDescent="0.2">
      <c r="A1715" s="2">
        <v>16</v>
      </c>
      <c r="B1715" s="1" t="s">
        <v>165</v>
      </c>
      <c r="C1715" s="4">
        <v>13</v>
      </c>
      <c r="D1715" s="8">
        <v>1.48</v>
      </c>
      <c r="E1715" s="4">
        <v>3</v>
      </c>
      <c r="F1715" s="8">
        <v>0.66</v>
      </c>
      <c r="G1715" s="4">
        <v>10</v>
      </c>
      <c r="H1715" s="8">
        <v>2.42</v>
      </c>
      <c r="I1715" s="4">
        <v>0</v>
      </c>
    </row>
    <row r="1716" spans="1:9" x14ac:dyDescent="0.2">
      <c r="A1716" s="2">
        <v>16</v>
      </c>
      <c r="B1716" s="1" t="s">
        <v>178</v>
      </c>
      <c r="C1716" s="4">
        <v>13</v>
      </c>
      <c r="D1716" s="8">
        <v>1.48</v>
      </c>
      <c r="E1716" s="4">
        <v>3</v>
      </c>
      <c r="F1716" s="8">
        <v>0.66</v>
      </c>
      <c r="G1716" s="4">
        <v>9</v>
      </c>
      <c r="H1716" s="8">
        <v>2.17</v>
      </c>
      <c r="I1716" s="4">
        <v>0</v>
      </c>
    </row>
    <row r="1717" spans="1:9" x14ac:dyDescent="0.2">
      <c r="A1717" s="2">
        <v>16</v>
      </c>
      <c r="B1717" s="1" t="s">
        <v>176</v>
      </c>
      <c r="C1717" s="4">
        <v>13</v>
      </c>
      <c r="D1717" s="8">
        <v>1.48</v>
      </c>
      <c r="E1717" s="4">
        <v>10</v>
      </c>
      <c r="F1717" s="8">
        <v>2.2000000000000002</v>
      </c>
      <c r="G1717" s="4">
        <v>3</v>
      </c>
      <c r="H1717" s="8">
        <v>0.72</v>
      </c>
      <c r="I1717" s="4">
        <v>0</v>
      </c>
    </row>
    <row r="1718" spans="1:9" x14ac:dyDescent="0.2">
      <c r="A1718" s="2">
        <v>20</v>
      </c>
      <c r="B1718" s="1" t="s">
        <v>203</v>
      </c>
      <c r="C1718" s="4">
        <v>12</v>
      </c>
      <c r="D1718" s="8">
        <v>1.37</v>
      </c>
      <c r="E1718" s="4">
        <v>6</v>
      </c>
      <c r="F1718" s="8">
        <v>1.32</v>
      </c>
      <c r="G1718" s="4">
        <v>6</v>
      </c>
      <c r="H1718" s="8">
        <v>1.45</v>
      </c>
      <c r="I1718" s="4">
        <v>0</v>
      </c>
    </row>
    <row r="1719" spans="1:9" x14ac:dyDescent="0.2">
      <c r="A1719" s="2">
        <v>20</v>
      </c>
      <c r="B1719" s="1" t="s">
        <v>222</v>
      </c>
      <c r="C1719" s="4">
        <v>12</v>
      </c>
      <c r="D1719" s="8">
        <v>1.37</v>
      </c>
      <c r="E1719" s="4">
        <v>1</v>
      </c>
      <c r="F1719" s="8">
        <v>0.22</v>
      </c>
      <c r="G1719" s="4">
        <v>11</v>
      </c>
      <c r="H1719" s="8">
        <v>2.66</v>
      </c>
      <c r="I1719" s="4">
        <v>0</v>
      </c>
    </row>
    <row r="1720" spans="1:9" x14ac:dyDescent="0.2">
      <c r="A1720" s="1"/>
      <c r="C1720" s="4"/>
      <c r="D1720" s="8"/>
      <c r="E1720" s="4"/>
      <c r="F1720" s="8"/>
      <c r="G1720" s="4"/>
      <c r="H1720" s="8"/>
      <c r="I1720" s="4"/>
    </row>
    <row r="1721" spans="1:9" x14ac:dyDescent="0.2">
      <c r="A1721" s="1" t="s">
        <v>73</v>
      </c>
      <c r="C1721" s="4"/>
      <c r="D1721" s="8"/>
      <c r="E1721" s="4"/>
      <c r="F1721" s="8"/>
      <c r="G1721" s="4"/>
      <c r="H1721" s="8"/>
      <c r="I1721" s="4"/>
    </row>
    <row r="1722" spans="1:9" x14ac:dyDescent="0.2">
      <c r="A1722" s="2">
        <v>1</v>
      </c>
      <c r="B1722" s="1" t="s">
        <v>167</v>
      </c>
      <c r="C1722" s="4">
        <v>40</v>
      </c>
      <c r="D1722" s="8">
        <v>6.45</v>
      </c>
      <c r="E1722" s="4">
        <v>34</v>
      </c>
      <c r="F1722" s="8">
        <v>11.22</v>
      </c>
      <c r="G1722" s="4">
        <v>6</v>
      </c>
      <c r="H1722" s="8">
        <v>1.91</v>
      </c>
      <c r="I1722" s="4">
        <v>0</v>
      </c>
    </row>
    <row r="1723" spans="1:9" x14ac:dyDescent="0.2">
      <c r="A1723" s="2">
        <v>2</v>
      </c>
      <c r="B1723" s="1" t="s">
        <v>161</v>
      </c>
      <c r="C1723" s="4">
        <v>22</v>
      </c>
      <c r="D1723" s="8">
        <v>3.55</v>
      </c>
      <c r="E1723" s="4">
        <v>5</v>
      </c>
      <c r="F1723" s="8">
        <v>1.65</v>
      </c>
      <c r="G1723" s="4">
        <v>17</v>
      </c>
      <c r="H1723" s="8">
        <v>5.41</v>
      </c>
      <c r="I1723" s="4">
        <v>0</v>
      </c>
    </row>
    <row r="1724" spans="1:9" x14ac:dyDescent="0.2">
      <c r="A1724" s="2">
        <v>3</v>
      </c>
      <c r="B1724" s="1" t="s">
        <v>173</v>
      </c>
      <c r="C1724" s="4">
        <v>21</v>
      </c>
      <c r="D1724" s="8">
        <v>3.39</v>
      </c>
      <c r="E1724" s="4">
        <v>20</v>
      </c>
      <c r="F1724" s="8">
        <v>6.6</v>
      </c>
      <c r="G1724" s="4">
        <v>1</v>
      </c>
      <c r="H1724" s="8">
        <v>0.32</v>
      </c>
      <c r="I1724" s="4">
        <v>0</v>
      </c>
    </row>
    <row r="1725" spans="1:9" x14ac:dyDescent="0.2">
      <c r="A1725" s="2">
        <v>4</v>
      </c>
      <c r="B1725" s="1" t="s">
        <v>176</v>
      </c>
      <c r="C1725" s="4">
        <v>18</v>
      </c>
      <c r="D1725" s="8">
        <v>2.9</v>
      </c>
      <c r="E1725" s="4">
        <v>15</v>
      </c>
      <c r="F1725" s="8">
        <v>4.95</v>
      </c>
      <c r="G1725" s="4">
        <v>3</v>
      </c>
      <c r="H1725" s="8">
        <v>0.96</v>
      </c>
      <c r="I1725" s="4">
        <v>0</v>
      </c>
    </row>
    <row r="1726" spans="1:9" x14ac:dyDescent="0.2">
      <c r="A1726" s="2">
        <v>5</v>
      </c>
      <c r="B1726" s="1" t="s">
        <v>182</v>
      </c>
      <c r="C1726" s="4">
        <v>17</v>
      </c>
      <c r="D1726" s="8">
        <v>2.74</v>
      </c>
      <c r="E1726" s="4">
        <v>10</v>
      </c>
      <c r="F1726" s="8">
        <v>3.3</v>
      </c>
      <c r="G1726" s="4">
        <v>7</v>
      </c>
      <c r="H1726" s="8">
        <v>2.23</v>
      </c>
      <c r="I1726" s="4">
        <v>0</v>
      </c>
    </row>
    <row r="1727" spans="1:9" x14ac:dyDescent="0.2">
      <c r="A1727" s="2">
        <v>6</v>
      </c>
      <c r="B1727" s="1" t="s">
        <v>163</v>
      </c>
      <c r="C1727" s="4">
        <v>16</v>
      </c>
      <c r="D1727" s="8">
        <v>2.58</v>
      </c>
      <c r="E1727" s="4">
        <v>4</v>
      </c>
      <c r="F1727" s="8">
        <v>1.32</v>
      </c>
      <c r="G1727" s="4">
        <v>12</v>
      </c>
      <c r="H1727" s="8">
        <v>3.82</v>
      </c>
      <c r="I1727" s="4">
        <v>0</v>
      </c>
    </row>
    <row r="1728" spans="1:9" x14ac:dyDescent="0.2">
      <c r="A1728" s="2">
        <v>7</v>
      </c>
      <c r="B1728" s="1" t="s">
        <v>158</v>
      </c>
      <c r="C1728" s="4">
        <v>14</v>
      </c>
      <c r="D1728" s="8">
        <v>2.2599999999999998</v>
      </c>
      <c r="E1728" s="4">
        <v>7</v>
      </c>
      <c r="F1728" s="8">
        <v>2.31</v>
      </c>
      <c r="G1728" s="4">
        <v>7</v>
      </c>
      <c r="H1728" s="8">
        <v>2.23</v>
      </c>
      <c r="I1728" s="4">
        <v>0</v>
      </c>
    </row>
    <row r="1729" spans="1:9" x14ac:dyDescent="0.2">
      <c r="A1729" s="2">
        <v>7</v>
      </c>
      <c r="B1729" s="1" t="s">
        <v>160</v>
      </c>
      <c r="C1729" s="4">
        <v>14</v>
      </c>
      <c r="D1729" s="8">
        <v>2.2599999999999998</v>
      </c>
      <c r="E1729" s="4">
        <v>4</v>
      </c>
      <c r="F1729" s="8">
        <v>1.32</v>
      </c>
      <c r="G1729" s="4">
        <v>10</v>
      </c>
      <c r="H1729" s="8">
        <v>3.18</v>
      </c>
      <c r="I1729" s="4">
        <v>0</v>
      </c>
    </row>
    <row r="1730" spans="1:9" x14ac:dyDescent="0.2">
      <c r="A1730" s="2">
        <v>9</v>
      </c>
      <c r="B1730" s="1" t="s">
        <v>172</v>
      </c>
      <c r="C1730" s="4">
        <v>13</v>
      </c>
      <c r="D1730" s="8">
        <v>2.1</v>
      </c>
      <c r="E1730" s="4">
        <v>11</v>
      </c>
      <c r="F1730" s="8">
        <v>3.63</v>
      </c>
      <c r="G1730" s="4">
        <v>2</v>
      </c>
      <c r="H1730" s="8">
        <v>0.64</v>
      </c>
      <c r="I1730" s="4">
        <v>0</v>
      </c>
    </row>
    <row r="1731" spans="1:9" x14ac:dyDescent="0.2">
      <c r="A1731" s="2">
        <v>10</v>
      </c>
      <c r="B1731" s="1" t="s">
        <v>210</v>
      </c>
      <c r="C1731" s="4">
        <v>12</v>
      </c>
      <c r="D1731" s="8">
        <v>1.94</v>
      </c>
      <c r="E1731" s="4">
        <v>6</v>
      </c>
      <c r="F1731" s="8">
        <v>1.98</v>
      </c>
      <c r="G1731" s="4">
        <v>6</v>
      </c>
      <c r="H1731" s="8">
        <v>1.91</v>
      </c>
      <c r="I1731" s="4">
        <v>0</v>
      </c>
    </row>
    <row r="1732" spans="1:9" x14ac:dyDescent="0.2">
      <c r="A1732" s="2">
        <v>10</v>
      </c>
      <c r="B1732" s="1" t="s">
        <v>200</v>
      </c>
      <c r="C1732" s="4">
        <v>12</v>
      </c>
      <c r="D1732" s="8">
        <v>1.94</v>
      </c>
      <c r="E1732" s="4">
        <v>2</v>
      </c>
      <c r="F1732" s="8">
        <v>0.66</v>
      </c>
      <c r="G1732" s="4">
        <v>10</v>
      </c>
      <c r="H1732" s="8">
        <v>3.18</v>
      </c>
      <c r="I1732" s="4">
        <v>0</v>
      </c>
    </row>
    <row r="1733" spans="1:9" x14ac:dyDescent="0.2">
      <c r="A1733" s="2">
        <v>10</v>
      </c>
      <c r="B1733" s="1" t="s">
        <v>166</v>
      </c>
      <c r="C1733" s="4">
        <v>12</v>
      </c>
      <c r="D1733" s="8">
        <v>1.94</v>
      </c>
      <c r="E1733" s="4">
        <v>7</v>
      </c>
      <c r="F1733" s="8">
        <v>2.31</v>
      </c>
      <c r="G1733" s="4">
        <v>5</v>
      </c>
      <c r="H1733" s="8">
        <v>1.59</v>
      </c>
      <c r="I1733" s="4">
        <v>0</v>
      </c>
    </row>
    <row r="1734" spans="1:9" x14ac:dyDescent="0.2">
      <c r="A1734" s="2">
        <v>13</v>
      </c>
      <c r="B1734" s="1" t="s">
        <v>170</v>
      </c>
      <c r="C1734" s="4">
        <v>11</v>
      </c>
      <c r="D1734" s="8">
        <v>1.77</v>
      </c>
      <c r="E1734" s="4">
        <v>7</v>
      </c>
      <c r="F1734" s="8">
        <v>2.31</v>
      </c>
      <c r="G1734" s="4">
        <v>4</v>
      </c>
      <c r="H1734" s="8">
        <v>1.27</v>
      </c>
      <c r="I1734" s="4">
        <v>0</v>
      </c>
    </row>
    <row r="1735" spans="1:9" x14ac:dyDescent="0.2">
      <c r="A1735" s="2">
        <v>14</v>
      </c>
      <c r="B1735" s="1" t="s">
        <v>157</v>
      </c>
      <c r="C1735" s="4">
        <v>10</v>
      </c>
      <c r="D1735" s="8">
        <v>1.61</v>
      </c>
      <c r="E1735" s="4">
        <v>1</v>
      </c>
      <c r="F1735" s="8">
        <v>0.33</v>
      </c>
      <c r="G1735" s="4">
        <v>9</v>
      </c>
      <c r="H1735" s="8">
        <v>2.87</v>
      </c>
      <c r="I1735" s="4">
        <v>0</v>
      </c>
    </row>
    <row r="1736" spans="1:9" x14ac:dyDescent="0.2">
      <c r="A1736" s="2">
        <v>14</v>
      </c>
      <c r="B1736" s="1" t="s">
        <v>159</v>
      </c>
      <c r="C1736" s="4">
        <v>10</v>
      </c>
      <c r="D1736" s="8">
        <v>1.61</v>
      </c>
      <c r="E1736" s="4">
        <v>4</v>
      </c>
      <c r="F1736" s="8">
        <v>1.32</v>
      </c>
      <c r="G1736" s="4">
        <v>6</v>
      </c>
      <c r="H1736" s="8">
        <v>1.91</v>
      </c>
      <c r="I1736" s="4">
        <v>0</v>
      </c>
    </row>
    <row r="1737" spans="1:9" x14ac:dyDescent="0.2">
      <c r="A1737" s="2">
        <v>14</v>
      </c>
      <c r="B1737" s="1" t="s">
        <v>189</v>
      </c>
      <c r="C1737" s="4">
        <v>10</v>
      </c>
      <c r="D1737" s="8">
        <v>1.61</v>
      </c>
      <c r="E1737" s="4">
        <v>10</v>
      </c>
      <c r="F1737" s="8">
        <v>3.3</v>
      </c>
      <c r="G1737" s="4">
        <v>0</v>
      </c>
      <c r="H1737" s="8">
        <v>0</v>
      </c>
      <c r="I1737" s="4">
        <v>0</v>
      </c>
    </row>
    <row r="1738" spans="1:9" x14ac:dyDescent="0.2">
      <c r="A1738" s="2">
        <v>14</v>
      </c>
      <c r="B1738" s="1" t="s">
        <v>174</v>
      </c>
      <c r="C1738" s="4">
        <v>10</v>
      </c>
      <c r="D1738" s="8">
        <v>1.61</v>
      </c>
      <c r="E1738" s="4">
        <v>10</v>
      </c>
      <c r="F1738" s="8">
        <v>3.3</v>
      </c>
      <c r="G1738" s="4">
        <v>0</v>
      </c>
      <c r="H1738" s="8">
        <v>0</v>
      </c>
      <c r="I1738" s="4">
        <v>0</v>
      </c>
    </row>
    <row r="1739" spans="1:9" x14ac:dyDescent="0.2">
      <c r="A1739" s="2">
        <v>18</v>
      </c>
      <c r="B1739" s="1" t="s">
        <v>229</v>
      </c>
      <c r="C1739" s="4">
        <v>9</v>
      </c>
      <c r="D1739" s="8">
        <v>1.45</v>
      </c>
      <c r="E1739" s="4">
        <v>6</v>
      </c>
      <c r="F1739" s="8">
        <v>1.98</v>
      </c>
      <c r="G1739" s="4">
        <v>3</v>
      </c>
      <c r="H1739" s="8">
        <v>0.96</v>
      </c>
      <c r="I1739" s="4">
        <v>0</v>
      </c>
    </row>
    <row r="1740" spans="1:9" x14ac:dyDescent="0.2">
      <c r="A1740" s="2">
        <v>19</v>
      </c>
      <c r="B1740" s="1" t="s">
        <v>216</v>
      </c>
      <c r="C1740" s="4">
        <v>8</v>
      </c>
      <c r="D1740" s="8">
        <v>1.29</v>
      </c>
      <c r="E1740" s="4">
        <v>2</v>
      </c>
      <c r="F1740" s="8">
        <v>0.66</v>
      </c>
      <c r="G1740" s="4">
        <v>6</v>
      </c>
      <c r="H1740" s="8">
        <v>1.91</v>
      </c>
      <c r="I1740" s="4">
        <v>0</v>
      </c>
    </row>
    <row r="1741" spans="1:9" x14ac:dyDescent="0.2">
      <c r="A1741" s="2">
        <v>19</v>
      </c>
      <c r="B1741" s="1" t="s">
        <v>180</v>
      </c>
      <c r="C1741" s="4">
        <v>8</v>
      </c>
      <c r="D1741" s="8">
        <v>1.29</v>
      </c>
      <c r="E1741" s="4">
        <v>1</v>
      </c>
      <c r="F1741" s="8">
        <v>0.33</v>
      </c>
      <c r="G1741" s="4">
        <v>7</v>
      </c>
      <c r="H1741" s="8">
        <v>2.23</v>
      </c>
      <c r="I1741" s="4">
        <v>0</v>
      </c>
    </row>
    <row r="1742" spans="1:9" x14ac:dyDescent="0.2">
      <c r="A1742" s="1"/>
      <c r="C1742" s="4"/>
      <c r="D1742" s="8"/>
      <c r="E1742" s="4"/>
      <c r="F1742" s="8"/>
      <c r="G1742" s="4"/>
      <c r="H1742" s="8"/>
      <c r="I1742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A6627-986C-4346-AB09-08E2D42A1158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307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217</v>
      </c>
      <c r="D6" s="8">
        <v>20.51</v>
      </c>
      <c r="E6" s="12">
        <v>27</v>
      </c>
      <c r="F6" s="8">
        <v>10.42</v>
      </c>
      <c r="G6" s="12">
        <v>190</v>
      </c>
      <c r="H6" s="8">
        <v>24.14</v>
      </c>
      <c r="I6" s="12">
        <v>0</v>
      </c>
    </row>
    <row r="7" spans="2:9" ht="15" customHeight="1" x14ac:dyDescent="0.2">
      <c r="B7" t="s">
        <v>76</v>
      </c>
      <c r="C7" s="12">
        <v>97</v>
      </c>
      <c r="D7" s="8">
        <v>9.17</v>
      </c>
      <c r="E7" s="12">
        <v>18</v>
      </c>
      <c r="F7" s="8">
        <v>6.95</v>
      </c>
      <c r="G7" s="12">
        <v>79</v>
      </c>
      <c r="H7" s="8">
        <v>10.039999999999999</v>
      </c>
      <c r="I7" s="12">
        <v>0</v>
      </c>
    </row>
    <row r="8" spans="2:9" ht="15" customHeight="1" x14ac:dyDescent="0.2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78</v>
      </c>
      <c r="C9" s="12">
        <v>38</v>
      </c>
      <c r="D9" s="8">
        <v>3.59</v>
      </c>
      <c r="E9" s="12">
        <v>3</v>
      </c>
      <c r="F9" s="8">
        <v>1.1599999999999999</v>
      </c>
      <c r="G9" s="12">
        <v>35</v>
      </c>
      <c r="H9" s="8">
        <v>4.45</v>
      </c>
      <c r="I9" s="12">
        <v>0</v>
      </c>
    </row>
    <row r="10" spans="2:9" ht="15" customHeight="1" x14ac:dyDescent="0.2">
      <c r="B10" t="s">
        <v>79</v>
      </c>
      <c r="C10" s="12">
        <v>14</v>
      </c>
      <c r="D10" s="8">
        <v>1.32</v>
      </c>
      <c r="E10" s="12">
        <v>1</v>
      </c>
      <c r="F10" s="8">
        <v>0.39</v>
      </c>
      <c r="G10" s="12">
        <v>13</v>
      </c>
      <c r="H10" s="8">
        <v>1.65</v>
      </c>
      <c r="I10" s="12">
        <v>0</v>
      </c>
    </row>
    <row r="11" spans="2:9" ht="15" customHeight="1" x14ac:dyDescent="0.2">
      <c r="B11" t="s">
        <v>80</v>
      </c>
      <c r="C11" s="12">
        <v>177</v>
      </c>
      <c r="D11" s="8">
        <v>16.73</v>
      </c>
      <c r="E11" s="12">
        <v>52</v>
      </c>
      <c r="F11" s="8">
        <v>20.079999999999998</v>
      </c>
      <c r="G11" s="12">
        <v>125</v>
      </c>
      <c r="H11" s="8">
        <v>15.88</v>
      </c>
      <c r="I11" s="12">
        <v>0</v>
      </c>
    </row>
    <row r="12" spans="2:9" ht="15" customHeight="1" x14ac:dyDescent="0.2">
      <c r="B12" t="s">
        <v>81</v>
      </c>
      <c r="C12" s="12">
        <v>8</v>
      </c>
      <c r="D12" s="8">
        <v>0.76</v>
      </c>
      <c r="E12" s="12">
        <v>1</v>
      </c>
      <c r="F12" s="8">
        <v>0.39</v>
      </c>
      <c r="G12" s="12">
        <v>7</v>
      </c>
      <c r="H12" s="8">
        <v>0.89</v>
      </c>
      <c r="I12" s="12">
        <v>0</v>
      </c>
    </row>
    <row r="13" spans="2:9" ht="15" customHeight="1" x14ac:dyDescent="0.2">
      <c r="B13" t="s">
        <v>82</v>
      </c>
      <c r="C13" s="12">
        <v>156</v>
      </c>
      <c r="D13" s="8">
        <v>14.74</v>
      </c>
      <c r="E13" s="12">
        <v>7</v>
      </c>
      <c r="F13" s="8">
        <v>2.7</v>
      </c>
      <c r="G13" s="12">
        <v>146</v>
      </c>
      <c r="H13" s="8">
        <v>18.55</v>
      </c>
      <c r="I13" s="12">
        <v>1</v>
      </c>
    </row>
    <row r="14" spans="2:9" ht="15" customHeight="1" x14ac:dyDescent="0.2">
      <c r="B14" t="s">
        <v>83</v>
      </c>
      <c r="C14" s="12">
        <v>82</v>
      </c>
      <c r="D14" s="8">
        <v>7.75</v>
      </c>
      <c r="E14" s="12">
        <v>20</v>
      </c>
      <c r="F14" s="8">
        <v>7.72</v>
      </c>
      <c r="G14" s="12">
        <v>61</v>
      </c>
      <c r="H14" s="8">
        <v>7.75</v>
      </c>
      <c r="I14" s="12">
        <v>1</v>
      </c>
    </row>
    <row r="15" spans="2:9" ht="15" customHeight="1" x14ac:dyDescent="0.2">
      <c r="B15" t="s">
        <v>84</v>
      </c>
      <c r="C15" s="12">
        <v>62</v>
      </c>
      <c r="D15" s="8">
        <v>5.86</v>
      </c>
      <c r="E15" s="12">
        <v>38</v>
      </c>
      <c r="F15" s="8">
        <v>14.67</v>
      </c>
      <c r="G15" s="12">
        <v>24</v>
      </c>
      <c r="H15" s="8">
        <v>3.05</v>
      </c>
      <c r="I15" s="12">
        <v>0</v>
      </c>
    </row>
    <row r="16" spans="2:9" ht="15" customHeight="1" x14ac:dyDescent="0.2">
      <c r="B16" t="s">
        <v>85</v>
      </c>
      <c r="C16" s="12">
        <v>88</v>
      </c>
      <c r="D16" s="8">
        <v>8.32</v>
      </c>
      <c r="E16" s="12">
        <v>49</v>
      </c>
      <c r="F16" s="8">
        <v>18.920000000000002</v>
      </c>
      <c r="G16" s="12">
        <v>38</v>
      </c>
      <c r="H16" s="8">
        <v>4.83</v>
      </c>
      <c r="I16" s="12">
        <v>1</v>
      </c>
    </row>
    <row r="17" spans="2:9" ht="15" customHeight="1" x14ac:dyDescent="0.2">
      <c r="B17" t="s">
        <v>86</v>
      </c>
      <c r="C17" s="12">
        <v>38</v>
      </c>
      <c r="D17" s="8">
        <v>3.59</v>
      </c>
      <c r="E17" s="12">
        <v>19</v>
      </c>
      <c r="F17" s="8">
        <v>7.34</v>
      </c>
      <c r="G17" s="12">
        <v>18</v>
      </c>
      <c r="H17" s="8">
        <v>2.29</v>
      </c>
      <c r="I17" s="12">
        <v>0</v>
      </c>
    </row>
    <row r="18" spans="2:9" ht="15" customHeight="1" x14ac:dyDescent="0.2">
      <c r="B18" t="s">
        <v>87</v>
      </c>
      <c r="C18" s="12">
        <v>39</v>
      </c>
      <c r="D18" s="8">
        <v>3.69</v>
      </c>
      <c r="E18" s="12">
        <v>20</v>
      </c>
      <c r="F18" s="8">
        <v>7.72</v>
      </c>
      <c r="G18" s="12">
        <v>19</v>
      </c>
      <c r="H18" s="8">
        <v>2.41</v>
      </c>
      <c r="I18" s="12">
        <v>0</v>
      </c>
    </row>
    <row r="19" spans="2:9" ht="15" customHeight="1" x14ac:dyDescent="0.2">
      <c r="B19" t="s">
        <v>88</v>
      </c>
      <c r="C19" s="12">
        <v>42</v>
      </c>
      <c r="D19" s="8">
        <v>3.97</v>
      </c>
      <c r="E19" s="12">
        <v>4</v>
      </c>
      <c r="F19" s="8">
        <v>1.54</v>
      </c>
      <c r="G19" s="12">
        <v>32</v>
      </c>
      <c r="H19" s="8">
        <v>4.07</v>
      </c>
      <c r="I19" s="12">
        <v>5</v>
      </c>
    </row>
    <row r="20" spans="2:9" ht="15" customHeight="1" x14ac:dyDescent="0.2">
      <c r="B20" s="9" t="s">
        <v>269</v>
      </c>
      <c r="C20" s="12">
        <f>SUM(LTBL_11229[総数／事業所数])</f>
        <v>1058</v>
      </c>
      <c r="E20" s="12">
        <f>SUBTOTAL(109,LTBL_11229[個人／事業所数])</f>
        <v>259</v>
      </c>
      <c r="G20" s="12">
        <f>SUBTOTAL(109,LTBL_11229[法人／事業所数])</f>
        <v>787</v>
      </c>
      <c r="I20" s="12">
        <f>SUBTOTAL(109,LTBL_11229[法人以外の団体／事業所数])</f>
        <v>8</v>
      </c>
    </row>
    <row r="21" spans="2:9" ht="15" customHeight="1" x14ac:dyDescent="0.2">
      <c r="E21" s="11">
        <f>LTBL_11229[[#Totals],[個人／事業所数]]/LTBL_11229[[#Totals],[総数／事業所数]]</f>
        <v>0.2448015122873346</v>
      </c>
      <c r="G21" s="11">
        <f>LTBL_11229[[#Totals],[法人／事業所数]]/LTBL_11229[[#Totals],[総数／事業所数]]</f>
        <v>0.74385633270321361</v>
      </c>
      <c r="I21" s="11">
        <f>LTBL_11229[[#Totals],[法人以外の団体／事業所数]]/LTBL_11229[[#Totals],[総数／事業所数]]</f>
        <v>7.5614366729678641E-3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108</v>
      </c>
      <c r="C24" s="12">
        <v>141</v>
      </c>
      <c r="D24" s="8">
        <v>13.33</v>
      </c>
      <c r="E24" s="12">
        <v>5</v>
      </c>
      <c r="F24" s="8">
        <v>1.93</v>
      </c>
      <c r="G24" s="12">
        <v>133</v>
      </c>
      <c r="H24" s="8">
        <v>16.899999999999999</v>
      </c>
      <c r="I24" s="12">
        <v>1</v>
      </c>
    </row>
    <row r="25" spans="2:9" ht="15" customHeight="1" x14ac:dyDescent="0.2">
      <c r="B25" t="s">
        <v>98</v>
      </c>
      <c r="C25" s="12">
        <v>105</v>
      </c>
      <c r="D25" s="8">
        <v>9.92</v>
      </c>
      <c r="E25" s="12">
        <v>14</v>
      </c>
      <c r="F25" s="8">
        <v>5.41</v>
      </c>
      <c r="G25" s="12">
        <v>91</v>
      </c>
      <c r="H25" s="8">
        <v>11.56</v>
      </c>
      <c r="I25" s="12">
        <v>0</v>
      </c>
    </row>
    <row r="26" spans="2:9" ht="15" customHeight="1" x14ac:dyDescent="0.2">
      <c r="B26" t="s">
        <v>112</v>
      </c>
      <c r="C26" s="12">
        <v>68</v>
      </c>
      <c r="D26" s="8">
        <v>6.43</v>
      </c>
      <c r="E26" s="12">
        <v>44</v>
      </c>
      <c r="F26" s="8">
        <v>16.989999999999998</v>
      </c>
      <c r="G26" s="12">
        <v>24</v>
      </c>
      <c r="H26" s="8">
        <v>3.05</v>
      </c>
      <c r="I26" s="12">
        <v>0</v>
      </c>
    </row>
    <row r="27" spans="2:9" ht="15" customHeight="1" x14ac:dyDescent="0.2">
      <c r="B27" t="s">
        <v>99</v>
      </c>
      <c r="C27" s="12">
        <v>57</v>
      </c>
      <c r="D27" s="8">
        <v>5.39</v>
      </c>
      <c r="E27" s="12">
        <v>6</v>
      </c>
      <c r="F27" s="8">
        <v>2.3199999999999998</v>
      </c>
      <c r="G27" s="12">
        <v>51</v>
      </c>
      <c r="H27" s="8">
        <v>6.48</v>
      </c>
      <c r="I27" s="12">
        <v>0</v>
      </c>
    </row>
    <row r="28" spans="2:9" ht="15" customHeight="1" x14ac:dyDescent="0.2">
      <c r="B28" t="s">
        <v>111</v>
      </c>
      <c r="C28" s="12">
        <v>56</v>
      </c>
      <c r="D28" s="8">
        <v>5.29</v>
      </c>
      <c r="E28" s="12">
        <v>36</v>
      </c>
      <c r="F28" s="8">
        <v>13.9</v>
      </c>
      <c r="G28" s="12">
        <v>20</v>
      </c>
      <c r="H28" s="8">
        <v>2.54</v>
      </c>
      <c r="I28" s="12">
        <v>0</v>
      </c>
    </row>
    <row r="29" spans="2:9" ht="15" customHeight="1" x14ac:dyDescent="0.2">
      <c r="B29" t="s">
        <v>97</v>
      </c>
      <c r="C29" s="12">
        <v>55</v>
      </c>
      <c r="D29" s="8">
        <v>5.2</v>
      </c>
      <c r="E29" s="12">
        <v>7</v>
      </c>
      <c r="F29" s="8">
        <v>2.7</v>
      </c>
      <c r="G29" s="12">
        <v>48</v>
      </c>
      <c r="H29" s="8">
        <v>6.1</v>
      </c>
      <c r="I29" s="12">
        <v>0</v>
      </c>
    </row>
    <row r="30" spans="2:9" ht="15" customHeight="1" x14ac:dyDescent="0.2">
      <c r="B30" t="s">
        <v>109</v>
      </c>
      <c r="C30" s="12">
        <v>47</v>
      </c>
      <c r="D30" s="8">
        <v>4.4400000000000004</v>
      </c>
      <c r="E30" s="12">
        <v>14</v>
      </c>
      <c r="F30" s="8">
        <v>5.41</v>
      </c>
      <c r="G30" s="12">
        <v>32</v>
      </c>
      <c r="H30" s="8">
        <v>4.07</v>
      </c>
      <c r="I30" s="12">
        <v>1</v>
      </c>
    </row>
    <row r="31" spans="2:9" ht="15" customHeight="1" x14ac:dyDescent="0.2">
      <c r="B31" t="s">
        <v>114</v>
      </c>
      <c r="C31" s="12">
        <v>38</v>
      </c>
      <c r="D31" s="8">
        <v>3.59</v>
      </c>
      <c r="E31" s="12">
        <v>19</v>
      </c>
      <c r="F31" s="8">
        <v>7.34</v>
      </c>
      <c r="G31" s="12">
        <v>18</v>
      </c>
      <c r="H31" s="8">
        <v>2.29</v>
      </c>
      <c r="I31" s="12">
        <v>0</v>
      </c>
    </row>
    <row r="32" spans="2:9" ht="15" customHeight="1" x14ac:dyDescent="0.2">
      <c r="B32" t="s">
        <v>104</v>
      </c>
      <c r="C32" s="12">
        <v>36</v>
      </c>
      <c r="D32" s="8">
        <v>3.4</v>
      </c>
      <c r="E32" s="12">
        <v>16</v>
      </c>
      <c r="F32" s="8">
        <v>6.18</v>
      </c>
      <c r="G32" s="12">
        <v>20</v>
      </c>
      <c r="H32" s="8">
        <v>2.54</v>
      </c>
      <c r="I32" s="12">
        <v>0</v>
      </c>
    </row>
    <row r="33" spans="2:9" ht="15" customHeight="1" x14ac:dyDescent="0.2">
      <c r="B33" t="s">
        <v>106</v>
      </c>
      <c r="C33" s="12">
        <v>34</v>
      </c>
      <c r="D33" s="8">
        <v>3.21</v>
      </c>
      <c r="E33" s="12">
        <v>15</v>
      </c>
      <c r="F33" s="8">
        <v>5.79</v>
      </c>
      <c r="G33" s="12">
        <v>19</v>
      </c>
      <c r="H33" s="8">
        <v>2.41</v>
      </c>
      <c r="I33" s="12">
        <v>0</v>
      </c>
    </row>
    <row r="34" spans="2:9" ht="15" customHeight="1" x14ac:dyDescent="0.2">
      <c r="B34" t="s">
        <v>110</v>
      </c>
      <c r="C34" s="12">
        <v>30</v>
      </c>
      <c r="D34" s="8">
        <v>2.84</v>
      </c>
      <c r="E34" s="12">
        <v>6</v>
      </c>
      <c r="F34" s="8">
        <v>2.3199999999999998</v>
      </c>
      <c r="G34" s="12">
        <v>24</v>
      </c>
      <c r="H34" s="8">
        <v>3.05</v>
      </c>
      <c r="I34" s="12">
        <v>0</v>
      </c>
    </row>
    <row r="35" spans="2:9" ht="15" customHeight="1" x14ac:dyDescent="0.2">
      <c r="B35" t="s">
        <v>105</v>
      </c>
      <c r="C35" s="12">
        <v>28</v>
      </c>
      <c r="D35" s="8">
        <v>2.65</v>
      </c>
      <c r="E35" s="12">
        <v>6</v>
      </c>
      <c r="F35" s="8">
        <v>2.3199999999999998</v>
      </c>
      <c r="G35" s="12">
        <v>22</v>
      </c>
      <c r="H35" s="8">
        <v>2.8</v>
      </c>
      <c r="I35" s="12">
        <v>0</v>
      </c>
    </row>
    <row r="36" spans="2:9" ht="15" customHeight="1" x14ac:dyDescent="0.2">
      <c r="B36" t="s">
        <v>115</v>
      </c>
      <c r="C36" s="12">
        <v>28</v>
      </c>
      <c r="D36" s="8">
        <v>2.65</v>
      </c>
      <c r="E36" s="12">
        <v>20</v>
      </c>
      <c r="F36" s="8">
        <v>7.72</v>
      </c>
      <c r="G36" s="12">
        <v>8</v>
      </c>
      <c r="H36" s="8">
        <v>1.02</v>
      </c>
      <c r="I36" s="12">
        <v>0</v>
      </c>
    </row>
    <row r="37" spans="2:9" ht="15" customHeight="1" x14ac:dyDescent="0.2">
      <c r="B37" t="s">
        <v>123</v>
      </c>
      <c r="C37" s="12">
        <v>25</v>
      </c>
      <c r="D37" s="8">
        <v>2.36</v>
      </c>
      <c r="E37" s="12">
        <v>0</v>
      </c>
      <c r="F37" s="8">
        <v>0</v>
      </c>
      <c r="G37" s="12">
        <v>25</v>
      </c>
      <c r="H37" s="8">
        <v>3.18</v>
      </c>
      <c r="I37" s="12">
        <v>0</v>
      </c>
    </row>
    <row r="38" spans="2:9" ht="15" customHeight="1" x14ac:dyDescent="0.2">
      <c r="B38" t="s">
        <v>100</v>
      </c>
      <c r="C38" s="12">
        <v>18</v>
      </c>
      <c r="D38" s="8">
        <v>1.7</v>
      </c>
      <c r="E38" s="12">
        <v>8</v>
      </c>
      <c r="F38" s="8">
        <v>3.09</v>
      </c>
      <c r="G38" s="12">
        <v>10</v>
      </c>
      <c r="H38" s="8">
        <v>1.27</v>
      </c>
      <c r="I38" s="12">
        <v>0</v>
      </c>
    </row>
    <row r="39" spans="2:9" ht="15" customHeight="1" x14ac:dyDescent="0.2">
      <c r="B39" t="s">
        <v>101</v>
      </c>
      <c r="C39" s="12">
        <v>16</v>
      </c>
      <c r="D39" s="8">
        <v>1.51</v>
      </c>
      <c r="E39" s="12">
        <v>2</v>
      </c>
      <c r="F39" s="8">
        <v>0.77</v>
      </c>
      <c r="G39" s="12">
        <v>14</v>
      </c>
      <c r="H39" s="8">
        <v>1.78</v>
      </c>
      <c r="I39" s="12">
        <v>0</v>
      </c>
    </row>
    <row r="40" spans="2:9" ht="15" customHeight="1" x14ac:dyDescent="0.2">
      <c r="B40" t="s">
        <v>122</v>
      </c>
      <c r="C40" s="12">
        <v>14</v>
      </c>
      <c r="D40" s="8">
        <v>1.32</v>
      </c>
      <c r="E40" s="12">
        <v>0</v>
      </c>
      <c r="F40" s="8">
        <v>0</v>
      </c>
      <c r="G40" s="12">
        <v>14</v>
      </c>
      <c r="H40" s="8">
        <v>1.78</v>
      </c>
      <c r="I40" s="12">
        <v>0</v>
      </c>
    </row>
    <row r="41" spans="2:9" ht="15" customHeight="1" x14ac:dyDescent="0.2">
      <c r="B41" t="s">
        <v>116</v>
      </c>
      <c r="C41" s="12">
        <v>14</v>
      </c>
      <c r="D41" s="8">
        <v>1.32</v>
      </c>
      <c r="E41" s="12">
        <v>4</v>
      </c>
      <c r="F41" s="8">
        <v>1.54</v>
      </c>
      <c r="G41" s="12">
        <v>10</v>
      </c>
      <c r="H41" s="8">
        <v>1.27</v>
      </c>
      <c r="I41" s="12">
        <v>0</v>
      </c>
    </row>
    <row r="42" spans="2:9" ht="15" customHeight="1" x14ac:dyDescent="0.2">
      <c r="B42" t="s">
        <v>102</v>
      </c>
      <c r="C42" s="12">
        <v>13</v>
      </c>
      <c r="D42" s="8">
        <v>1.23</v>
      </c>
      <c r="E42" s="12">
        <v>3</v>
      </c>
      <c r="F42" s="8">
        <v>1.1599999999999999</v>
      </c>
      <c r="G42" s="12">
        <v>10</v>
      </c>
      <c r="H42" s="8">
        <v>1.27</v>
      </c>
      <c r="I42" s="12">
        <v>0</v>
      </c>
    </row>
    <row r="43" spans="2:9" ht="15" customHeight="1" x14ac:dyDescent="0.2">
      <c r="B43" t="s">
        <v>117</v>
      </c>
      <c r="C43" s="12">
        <v>13</v>
      </c>
      <c r="D43" s="8">
        <v>1.23</v>
      </c>
      <c r="E43" s="12">
        <v>1</v>
      </c>
      <c r="F43" s="8">
        <v>0.39</v>
      </c>
      <c r="G43" s="12">
        <v>12</v>
      </c>
      <c r="H43" s="8">
        <v>1.52</v>
      </c>
      <c r="I43" s="12">
        <v>0</v>
      </c>
    </row>
    <row r="44" spans="2:9" ht="15" customHeight="1" x14ac:dyDescent="0.2">
      <c r="B44" t="s">
        <v>113</v>
      </c>
      <c r="C44" s="12">
        <v>13</v>
      </c>
      <c r="D44" s="8">
        <v>1.23</v>
      </c>
      <c r="E44" s="12">
        <v>5</v>
      </c>
      <c r="F44" s="8">
        <v>1.93</v>
      </c>
      <c r="G44" s="12">
        <v>7</v>
      </c>
      <c r="H44" s="8">
        <v>0.89</v>
      </c>
      <c r="I44" s="12">
        <v>1</v>
      </c>
    </row>
    <row r="47" spans="2:9" ht="33" customHeight="1" x14ac:dyDescent="0.2">
      <c r="B47" t="s">
        <v>271</v>
      </c>
      <c r="C47" s="10" t="s">
        <v>90</v>
      </c>
      <c r="D47" s="10" t="s">
        <v>91</v>
      </c>
      <c r="E47" s="10" t="s">
        <v>92</v>
      </c>
      <c r="F47" s="10" t="s">
        <v>93</v>
      </c>
      <c r="G47" s="10" t="s">
        <v>94</v>
      </c>
      <c r="H47" s="10" t="s">
        <v>95</v>
      </c>
      <c r="I47" s="10" t="s">
        <v>96</v>
      </c>
    </row>
    <row r="48" spans="2:9" ht="15" customHeight="1" x14ac:dyDescent="0.2">
      <c r="B48" t="s">
        <v>167</v>
      </c>
      <c r="C48" s="12">
        <v>62</v>
      </c>
      <c r="D48" s="8">
        <v>5.86</v>
      </c>
      <c r="E48" s="12">
        <v>2</v>
      </c>
      <c r="F48" s="8">
        <v>0.77</v>
      </c>
      <c r="G48" s="12">
        <v>60</v>
      </c>
      <c r="H48" s="8">
        <v>7.62</v>
      </c>
      <c r="I48" s="12">
        <v>0</v>
      </c>
    </row>
    <row r="49" spans="2:9" ht="15" customHeight="1" x14ac:dyDescent="0.2">
      <c r="B49" t="s">
        <v>168</v>
      </c>
      <c r="C49" s="12">
        <v>37</v>
      </c>
      <c r="D49" s="8">
        <v>3.5</v>
      </c>
      <c r="E49" s="12">
        <v>0</v>
      </c>
      <c r="F49" s="8">
        <v>0</v>
      </c>
      <c r="G49" s="12">
        <v>34</v>
      </c>
      <c r="H49" s="8">
        <v>4.32</v>
      </c>
      <c r="I49" s="12">
        <v>1</v>
      </c>
    </row>
    <row r="50" spans="2:9" ht="15" customHeight="1" x14ac:dyDescent="0.2">
      <c r="B50" t="s">
        <v>166</v>
      </c>
      <c r="C50" s="12">
        <v>36</v>
      </c>
      <c r="D50" s="8">
        <v>3.4</v>
      </c>
      <c r="E50" s="12">
        <v>1</v>
      </c>
      <c r="F50" s="8">
        <v>0.39</v>
      </c>
      <c r="G50" s="12">
        <v>35</v>
      </c>
      <c r="H50" s="8">
        <v>4.45</v>
      </c>
      <c r="I50" s="12">
        <v>0</v>
      </c>
    </row>
    <row r="51" spans="2:9" ht="15" customHeight="1" x14ac:dyDescent="0.2">
      <c r="B51" t="s">
        <v>174</v>
      </c>
      <c r="C51" s="12">
        <v>30</v>
      </c>
      <c r="D51" s="8">
        <v>2.84</v>
      </c>
      <c r="E51" s="12">
        <v>16</v>
      </c>
      <c r="F51" s="8">
        <v>6.18</v>
      </c>
      <c r="G51" s="12">
        <v>14</v>
      </c>
      <c r="H51" s="8">
        <v>1.78</v>
      </c>
      <c r="I51" s="12">
        <v>0</v>
      </c>
    </row>
    <row r="52" spans="2:9" ht="15" customHeight="1" x14ac:dyDescent="0.2">
      <c r="B52" t="s">
        <v>173</v>
      </c>
      <c r="C52" s="12">
        <v>28</v>
      </c>
      <c r="D52" s="8">
        <v>2.65</v>
      </c>
      <c r="E52" s="12">
        <v>20</v>
      </c>
      <c r="F52" s="8">
        <v>7.72</v>
      </c>
      <c r="G52" s="12">
        <v>8</v>
      </c>
      <c r="H52" s="8">
        <v>1.02</v>
      </c>
      <c r="I52" s="12">
        <v>0</v>
      </c>
    </row>
    <row r="53" spans="2:9" ht="15" customHeight="1" x14ac:dyDescent="0.2">
      <c r="B53" t="s">
        <v>161</v>
      </c>
      <c r="C53" s="12">
        <v>26</v>
      </c>
      <c r="D53" s="8">
        <v>2.46</v>
      </c>
      <c r="E53" s="12">
        <v>4</v>
      </c>
      <c r="F53" s="8">
        <v>1.54</v>
      </c>
      <c r="G53" s="12">
        <v>22</v>
      </c>
      <c r="H53" s="8">
        <v>2.8</v>
      </c>
      <c r="I53" s="12">
        <v>0</v>
      </c>
    </row>
    <row r="54" spans="2:9" ht="15" customHeight="1" x14ac:dyDescent="0.2">
      <c r="B54" t="s">
        <v>197</v>
      </c>
      <c r="C54" s="12">
        <v>25</v>
      </c>
      <c r="D54" s="8">
        <v>2.36</v>
      </c>
      <c r="E54" s="12">
        <v>1</v>
      </c>
      <c r="F54" s="8">
        <v>0.39</v>
      </c>
      <c r="G54" s="12">
        <v>24</v>
      </c>
      <c r="H54" s="8">
        <v>3.05</v>
      </c>
      <c r="I54" s="12">
        <v>0</v>
      </c>
    </row>
    <row r="55" spans="2:9" ht="15" customHeight="1" x14ac:dyDescent="0.2">
      <c r="B55" t="s">
        <v>182</v>
      </c>
      <c r="C55" s="12">
        <v>23</v>
      </c>
      <c r="D55" s="8">
        <v>2.17</v>
      </c>
      <c r="E55" s="12">
        <v>4</v>
      </c>
      <c r="F55" s="8">
        <v>1.54</v>
      </c>
      <c r="G55" s="12">
        <v>19</v>
      </c>
      <c r="H55" s="8">
        <v>2.41</v>
      </c>
      <c r="I55" s="12">
        <v>0</v>
      </c>
    </row>
    <row r="56" spans="2:9" ht="15" customHeight="1" x14ac:dyDescent="0.2">
      <c r="B56" t="s">
        <v>160</v>
      </c>
      <c r="C56" s="12">
        <v>23</v>
      </c>
      <c r="D56" s="8">
        <v>2.17</v>
      </c>
      <c r="E56" s="12">
        <v>2</v>
      </c>
      <c r="F56" s="8">
        <v>0.77</v>
      </c>
      <c r="G56" s="12">
        <v>21</v>
      </c>
      <c r="H56" s="8">
        <v>2.67</v>
      </c>
      <c r="I56" s="12">
        <v>0</v>
      </c>
    </row>
    <row r="57" spans="2:9" ht="15" customHeight="1" x14ac:dyDescent="0.2">
      <c r="B57" t="s">
        <v>169</v>
      </c>
      <c r="C57" s="12">
        <v>23</v>
      </c>
      <c r="D57" s="8">
        <v>2.17</v>
      </c>
      <c r="E57" s="12">
        <v>19</v>
      </c>
      <c r="F57" s="8">
        <v>7.34</v>
      </c>
      <c r="G57" s="12">
        <v>4</v>
      </c>
      <c r="H57" s="8">
        <v>0.51</v>
      </c>
      <c r="I57" s="12">
        <v>0</v>
      </c>
    </row>
    <row r="58" spans="2:9" ht="15" customHeight="1" x14ac:dyDescent="0.2">
      <c r="B58" t="s">
        <v>172</v>
      </c>
      <c r="C58" s="12">
        <v>22</v>
      </c>
      <c r="D58" s="8">
        <v>2.08</v>
      </c>
      <c r="E58" s="12">
        <v>19</v>
      </c>
      <c r="F58" s="8">
        <v>7.34</v>
      </c>
      <c r="G58" s="12">
        <v>3</v>
      </c>
      <c r="H58" s="8">
        <v>0.38</v>
      </c>
      <c r="I58" s="12">
        <v>0</v>
      </c>
    </row>
    <row r="59" spans="2:9" ht="15" customHeight="1" x14ac:dyDescent="0.2">
      <c r="B59" t="s">
        <v>199</v>
      </c>
      <c r="C59" s="12">
        <v>21</v>
      </c>
      <c r="D59" s="8">
        <v>1.98</v>
      </c>
      <c r="E59" s="12">
        <v>0</v>
      </c>
      <c r="F59" s="8">
        <v>0</v>
      </c>
      <c r="G59" s="12">
        <v>21</v>
      </c>
      <c r="H59" s="8">
        <v>2.67</v>
      </c>
      <c r="I59" s="12">
        <v>0</v>
      </c>
    </row>
    <row r="60" spans="2:9" ht="15" customHeight="1" x14ac:dyDescent="0.2">
      <c r="B60" t="s">
        <v>175</v>
      </c>
      <c r="C60" s="12">
        <v>20</v>
      </c>
      <c r="D60" s="8">
        <v>1.89</v>
      </c>
      <c r="E60" s="12">
        <v>15</v>
      </c>
      <c r="F60" s="8">
        <v>5.79</v>
      </c>
      <c r="G60" s="12">
        <v>5</v>
      </c>
      <c r="H60" s="8">
        <v>0.64</v>
      </c>
      <c r="I60" s="12">
        <v>0</v>
      </c>
    </row>
    <row r="61" spans="2:9" ht="15" customHeight="1" x14ac:dyDescent="0.2">
      <c r="B61" t="s">
        <v>177</v>
      </c>
      <c r="C61" s="12">
        <v>18</v>
      </c>
      <c r="D61" s="8">
        <v>1.7</v>
      </c>
      <c r="E61" s="12">
        <v>1</v>
      </c>
      <c r="F61" s="8">
        <v>0.39</v>
      </c>
      <c r="G61" s="12">
        <v>17</v>
      </c>
      <c r="H61" s="8">
        <v>2.16</v>
      </c>
      <c r="I61" s="12">
        <v>0</v>
      </c>
    </row>
    <row r="62" spans="2:9" ht="15" customHeight="1" x14ac:dyDescent="0.2">
      <c r="B62" t="s">
        <v>178</v>
      </c>
      <c r="C62" s="12">
        <v>18</v>
      </c>
      <c r="D62" s="8">
        <v>1.7</v>
      </c>
      <c r="E62" s="12">
        <v>2</v>
      </c>
      <c r="F62" s="8">
        <v>0.77</v>
      </c>
      <c r="G62" s="12">
        <v>16</v>
      </c>
      <c r="H62" s="8">
        <v>2.0299999999999998</v>
      </c>
      <c r="I62" s="12">
        <v>0</v>
      </c>
    </row>
    <row r="63" spans="2:9" ht="15" customHeight="1" x14ac:dyDescent="0.2">
      <c r="B63" t="s">
        <v>170</v>
      </c>
      <c r="C63" s="12">
        <v>17</v>
      </c>
      <c r="D63" s="8">
        <v>1.61</v>
      </c>
      <c r="E63" s="12">
        <v>8</v>
      </c>
      <c r="F63" s="8">
        <v>3.09</v>
      </c>
      <c r="G63" s="12">
        <v>9</v>
      </c>
      <c r="H63" s="8">
        <v>1.1399999999999999</v>
      </c>
      <c r="I63" s="12">
        <v>0</v>
      </c>
    </row>
    <row r="64" spans="2:9" ht="15" customHeight="1" x14ac:dyDescent="0.2">
      <c r="B64" t="s">
        <v>193</v>
      </c>
      <c r="C64" s="12">
        <v>16</v>
      </c>
      <c r="D64" s="8">
        <v>1.51</v>
      </c>
      <c r="E64" s="12">
        <v>1</v>
      </c>
      <c r="F64" s="8">
        <v>0.39</v>
      </c>
      <c r="G64" s="12">
        <v>14</v>
      </c>
      <c r="H64" s="8">
        <v>1.78</v>
      </c>
      <c r="I64" s="12">
        <v>1</v>
      </c>
    </row>
    <row r="65" spans="2:9" ht="15" customHeight="1" x14ac:dyDescent="0.2">
      <c r="B65" t="s">
        <v>158</v>
      </c>
      <c r="C65" s="12">
        <v>15</v>
      </c>
      <c r="D65" s="8">
        <v>1.42</v>
      </c>
      <c r="E65" s="12">
        <v>2</v>
      </c>
      <c r="F65" s="8">
        <v>0.77</v>
      </c>
      <c r="G65" s="12">
        <v>13</v>
      </c>
      <c r="H65" s="8">
        <v>1.65</v>
      </c>
      <c r="I65" s="12">
        <v>0</v>
      </c>
    </row>
    <row r="66" spans="2:9" ht="15" customHeight="1" x14ac:dyDescent="0.2">
      <c r="B66" t="s">
        <v>163</v>
      </c>
      <c r="C66" s="12">
        <v>15</v>
      </c>
      <c r="D66" s="8">
        <v>1.42</v>
      </c>
      <c r="E66" s="12">
        <v>2</v>
      </c>
      <c r="F66" s="8">
        <v>0.77</v>
      </c>
      <c r="G66" s="12">
        <v>13</v>
      </c>
      <c r="H66" s="8">
        <v>1.65</v>
      </c>
      <c r="I66" s="12">
        <v>0</v>
      </c>
    </row>
    <row r="67" spans="2:9" ht="15" customHeight="1" x14ac:dyDescent="0.2">
      <c r="B67" t="s">
        <v>162</v>
      </c>
      <c r="C67" s="12">
        <v>14</v>
      </c>
      <c r="D67" s="8">
        <v>1.32</v>
      </c>
      <c r="E67" s="12">
        <v>3</v>
      </c>
      <c r="F67" s="8">
        <v>1.1599999999999999</v>
      </c>
      <c r="G67" s="12">
        <v>11</v>
      </c>
      <c r="H67" s="8">
        <v>1.4</v>
      </c>
      <c r="I67" s="12">
        <v>0</v>
      </c>
    </row>
    <row r="68" spans="2:9" ht="15" customHeight="1" x14ac:dyDescent="0.2">
      <c r="B68" t="s">
        <v>176</v>
      </c>
      <c r="C68" s="12">
        <v>14</v>
      </c>
      <c r="D68" s="8">
        <v>1.32</v>
      </c>
      <c r="E68" s="12">
        <v>4</v>
      </c>
      <c r="F68" s="8">
        <v>1.54</v>
      </c>
      <c r="G68" s="12">
        <v>10</v>
      </c>
      <c r="H68" s="8">
        <v>1.27</v>
      </c>
      <c r="I68" s="12">
        <v>0</v>
      </c>
    </row>
    <row r="70" spans="2:9" ht="15" customHeight="1" x14ac:dyDescent="0.2">
      <c r="B70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C63CA-2E31-4267-87CC-D1B439A33793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308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671</v>
      </c>
      <c r="D6" s="8">
        <v>24.71</v>
      </c>
      <c r="E6" s="12">
        <v>88</v>
      </c>
      <c r="F6" s="8">
        <v>9.93</v>
      </c>
      <c r="G6" s="12">
        <v>583</v>
      </c>
      <c r="H6" s="8">
        <v>32.03</v>
      </c>
      <c r="I6" s="12">
        <v>0</v>
      </c>
    </row>
    <row r="7" spans="2:9" ht="15" customHeight="1" x14ac:dyDescent="0.2">
      <c r="B7" t="s">
        <v>76</v>
      </c>
      <c r="C7" s="12">
        <v>297</v>
      </c>
      <c r="D7" s="8">
        <v>10.94</v>
      </c>
      <c r="E7" s="12">
        <v>55</v>
      </c>
      <c r="F7" s="8">
        <v>6.21</v>
      </c>
      <c r="G7" s="12">
        <v>242</v>
      </c>
      <c r="H7" s="8">
        <v>13.3</v>
      </c>
      <c r="I7" s="12">
        <v>0</v>
      </c>
    </row>
    <row r="8" spans="2:9" ht="15" customHeight="1" x14ac:dyDescent="0.2">
      <c r="B8" t="s">
        <v>77</v>
      </c>
      <c r="C8" s="12">
        <v>1</v>
      </c>
      <c r="D8" s="8">
        <v>0.04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78</v>
      </c>
      <c r="C9" s="12">
        <v>45</v>
      </c>
      <c r="D9" s="8">
        <v>1.66</v>
      </c>
      <c r="E9" s="12">
        <v>3</v>
      </c>
      <c r="F9" s="8">
        <v>0.34</v>
      </c>
      <c r="G9" s="12">
        <v>42</v>
      </c>
      <c r="H9" s="8">
        <v>2.31</v>
      </c>
      <c r="I9" s="12">
        <v>0</v>
      </c>
    </row>
    <row r="10" spans="2:9" ht="15" customHeight="1" x14ac:dyDescent="0.2">
      <c r="B10" t="s">
        <v>79</v>
      </c>
      <c r="C10" s="12">
        <v>42</v>
      </c>
      <c r="D10" s="8">
        <v>1.55</v>
      </c>
      <c r="E10" s="12">
        <v>2</v>
      </c>
      <c r="F10" s="8">
        <v>0.23</v>
      </c>
      <c r="G10" s="12">
        <v>40</v>
      </c>
      <c r="H10" s="8">
        <v>2.2000000000000002</v>
      </c>
      <c r="I10" s="12">
        <v>0</v>
      </c>
    </row>
    <row r="11" spans="2:9" ht="15" customHeight="1" x14ac:dyDescent="0.2">
      <c r="B11" t="s">
        <v>80</v>
      </c>
      <c r="C11" s="12">
        <v>469</v>
      </c>
      <c r="D11" s="8">
        <v>17.27</v>
      </c>
      <c r="E11" s="12">
        <v>175</v>
      </c>
      <c r="F11" s="8">
        <v>19.75</v>
      </c>
      <c r="G11" s="12">
        <v>294</v>
      </c>
      <c r="H11" s="8">
        <v>16.149999999999999</v>
      </c>
      <c r="I11" s="12">
        <v>0</v>
      </c>
    </row>
    <row r="12" spans="2:9" ht="15" customHeight="1" x14ac:dyDescent="0.2">
      <c r="B12" t="s">
        <v>81</v>
      </c>
      <c r="C12" s="12">
        <v>14</v>
      </c>
      <c r="D12" s="8">
        <v>0.52</v>
      </c>
      <c r="E12" s="12">
        <v>0</v>
      </c>
      <c r="F12" s="8">
        <v>0</v>
      </c>
      <c r="G12" s="12">
        <v>14</v>
      </c>
      <c r="H12" s="8">
        <v>0.77</v>
      </c>
      <c r="I12" s="12">
        <v>0</v>
      </c>
    </row>
    <row r="13" spans="2:9" ht="15" customHeight="1" x14ac:dyDescent="0.2">
      <c r="B13" t="s">
        <v>82</v>
      </c>
      <c r="C13" s="12">
        <v>282</v>
      </c>
      <c r="D13" s="8">
        <v>10.39</v>
      </c>
      <c r="E13" s="12">
        <v>40</v>
      </c>
      <c r="F13" s="8">
        <v>4.51</v>
      </c>
      <c r="G13" s="12">
        <v>242</v>
      </c>
      <c r="H13" s="8">
        <v>13.3</v>
      </c>
      <c r="I13" s="12">
        <v>0</v>
      </c>
    </row>
    <row r="14" spans="2:9" ht="15" customHeight="1" x14ac:dyDescent="0.2">
      <c r="B14" t="s">
        <v>83</v>
      </c>
      <c r="C14" s="12">
        <v>131</v>
      </c>
      <c r="D14" s="8">
        <v>4.83</v>
      </c>
      <c r="E14" s="12">
        <v>50</v>
      </c>
      <c r="F14" s="8">
        <v>5.64</v>
      </c>
      <c r="G14" s="12">
        <v>81</v>
      </c>
      <c r="H14" s="8">
        <v>4.45</v>
      </c>
      <c r="I14" s="12">
        <v>0</v>
      </c>
    </row>
    <row r="15" spans="2:9" ht="15" customHeight="1" x14ac:dyDescent="0.2">
      <c r="B15" t="s">
        <v>84</v>
      </c>
      <c r="C15" s="12">
        <v>179</v>
      </c>
      <c r="D15" s="8">
        <v>6.59</v>
      </c>
      <c r="E15" s="12">
        <v>126</v>
      </c>
      <c r="F15" s="8">
        <v>14.22</v>
      </c>
      <c r="G15" s="12">
        <v>53</v>
      </c>
      <c r="H15" s="8">
        <v>2.91</v>
      </c>
      <c r="I15" s="12">
        <v>0</v>
      </c>
    </row>
    <row r="16" spans="2:9" ht="15" customHeight="1" x14ac:dyDescent="0.2">
      <c r="B16" t="s">
        <v>85</v>
      </c>
      <c r="C16" s="12">
        <v>275</v>
      </c>
      <c r="D16" s="8">
        <v>10.130000000000001</v>
      </c>
      <c r="E16" s="12">
        <v>194</v>
      </c>
      <c r="F16" s="8">
        <v>21.9</v>
      </c>
      <c r="G16" s="12">
        <v>81</v>
      </c>
      <c r="H16" s="8">
        <v>4.45</v>
      </c>
      <c r="I16" s="12">
        <v>0</v>
      </c>
    </row>
    <row r="17" spans="2:9" ht="15" customHeight="1" x14ac:dyDescent="0.2">
      <c r="B17" t="s">
        <v>86</v>
      </c>
      <c r="C17" s="12">
        <v>94</v>
      </c>
      <c r="D17" s="8">
        <v>3.46</v>
      </c>
      <c r="E17" s="12">
        <v>53</v>
      </c>
      <c r="F17" s="8">
        <v>5.98</v>
      </c>
      <c r="G17" s="12">
        <v>37</v>
      </c>
      <c r="H17" s="8">
        <v>2.0299999999999998</v>
      </c>
      <c r="I17" s="12">
        <v>0</v>
      </c>
    </row>
    <row r="18" spans="2:9" ht="15" customHeight="1" x14ac:dyDescent="0.2">
      <c r="B18" t="s">
        <v>87</v>
      </c>
      <c r="C18" s="12">
        <v>126</v>
      </c>
      <c r="D18" s="8">
        <v>4.6399999999999997</v>
      </c>
      <c r="E18" s="12">
        <v>79</v>
      </c>
      <c r="F18" s="8">
        <v>8.92</v>
      </c>
      <c r="G18" s="12">
        <v>45</v>
      </c>
      <c r="H18" s="8">
        <v>2.4700000000000002</v>
      </c>
      <c r="I18" s="12">
        <v>0</v>
      </c>
    </row>
    <row r="19" spans="2:9" ht="15" customHeight="1" x14ac:dyDescent="0.2">
      <c r="B19" t="s">
        <v>88</v>
      </c>
      <c r="C19" s="12">
        <v>89</v>
      </c>
      <c r="D19" s="8">
        <v>3.28</v>
      </c>
      <c r="E19" s="12">
        <v>21</v>
      </c>
      <c r="F19" s="8">
        <v>2.37</v>
      </c>
      <c r="G19" s="12">
        <v>66</v>
      </c>
      <c r="H19" s="8">
        <v>3.63</v>
      </c>
      <c r="I19" s="12">
        <v>0</v>
      </c>
    </row>
    <row r="20" spans="2:9" ht="15" customHeight="1" x14ac:dyDescent="0.2">
      <c r="B20" s="9" t="s">
        <v>269</v>
      </c>
      <c r="C20" s="12">
        <f>SUM(LTBL_11230[総数／事業所数])</f>
        <v>2715</v>
      </c>
      <c r="E20" s="12">
        <f>SUBTOTAL(109,LTBL_11230[個人／事業所数])</f>
        <v>886</v>
      </c>
      <c r="G20" s="12">
        <f>SUBTOTAL(109,LTBL_11230[法人／事業所数])</f>
        <v>1820</v>
      </c>
      <c r="I20" s="12">
        <f>SUBTOTAL(109,LTBL_11230[法人以外の団体／事業所数])</f>
        <v>0</v>
      </c>
    </row>
    <row r="21" spans="2:9" ht="15" customHeight="1" x14ac:dyDescent="0.2">
      <c r="E21" s="11">
        <f>LTBL_11230[[#Totals],[個人／事業所数]]/LTBL_11230[[#Totals],[総数／事業所数]]</f>
        <v>0.32633517495395947</v>
      </c>
      <c r="G21" s="11">
        <f>LTBL_11230[[#Totals],[法人／事業所数]]/LTBL_11230[[#Totals],[総数／事業所数]]</f>
        <v>0.67034990791896865</v>
      </c>
      <c r="I21" s="11">
        <f>LTBL_11230[[#Totals],[法人以外の団体／事業所数]]/LTBL_11230[[#Totals],[総数／事業所数]]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98</v>
      </c>
      <c r="C24" s="12">
        <v>246</v>
      </c>
      <c r="D24" s="8">
        <v>9.06</v>
      </c>
      <c r="E24" s="12">
        <v>46</v>
      </c>
      <c r="F24" s="8">
        <v>5.19</v>
      </c>
      <c r="G24" s="12">
        <v>200</v>
      </c>
      <c r="H24" s="8">
        <v>10.99</v>
      </c>
      <c r="I24" s="12">
        <v>0</v>
      </c>
    </row>
    <row r="25" spans="2:9" ht="15" customHeight="1" x14ac:dyDescent="0.2">
      <c r="B25" t="s">
        <v>108</v>
      </c>
      <c r="C25" s="12">
        <v>228</v>
      </c>
      <c r="D25" s="8">
        <v>8.4</v>
      </c>
      <c r="E25" s="12">
        <v>36</v>
      </c>
      <c r="F25" s="8">
        <v>4.0599999999999996</v>
      </c>
      <c r="G25" s="12">
        <v>192</v>
      </c>
      <c r="H25" s="8">
        <v>10.55</v>
      </c>
      <c r="I25" s="12">
        <v>0</v>
      </c>
    </row>
    <row r="26" spans="2:9" ht="15" customHeight="1" x14ac:dyDescent="0.2">
      <c r="B26" t="s">
        <v>112</v>
      </c>
      <c r="C26" s="12">
        <v>223</v>
      </c>
      <c r="D26" s="8">
        <v>8.2100000000000009</v>
      </c>
      <c r="E26" s="12">
        <v>176</v>
      </c>
      <c r="F26" s="8">
        <v>19.86</v>
      </c>
      <c r="G26" s="12">
        <v>47</v>
      </c>
      <c r="H26" s="8">
        <v>2.58</v>
      </c>
      <c r="I26" s="12">
        <v>0</v>
      </c>
    </row>
    <row r="27" spans="2:9" ht="15" customHeight="1" x14ac:dyDescent="0.2">
      <c r="B27" t="s">
        <v>97</v>
      </c>
      <c r="C27" s="12">
        <v>215</v>
      </c>
      <c r="D27" s="8">
        <v>7.92</v>
      </c>
      <c r="E27" s="12">
        <v>23</v>
      </c>
      <c r="F27" s="8">
        <v>2.6</v>
      </c>
      <c r="G27" s="12">
        <v>192</v>
      </c>
      <c r="H27" s="8">
        <v>10.55</v>
      </c>
      <c r="I27" s="12">
        <v>0</v>
      </c>
    </row>
    <row r="28" spans="2:9" ht="15" customHeight="1" x14ac:dyDescent="0.2">
      <c r="B28" t="s">
        <v>99</v>
      </c>
      <c r="C28" s="12">
        <v>210</v>
      </c>
      <c r="D28" s="8">
        <v>7.73</v>
      </c>
      <c r="E28" s="12">
        <v>19</v>
      </c>
      <c r="F28" s="8">
        <v>2.14</v>
      </c>
      <c r="G28" s="12">
        <v>191</v>
      </c>
      <c r="H28" s="8">
        <v>10.49</v>
      </c>
      <c r="I28" s="12">
        <v>0</v>
      </c>
    </row>
    <row r="29" spans="2:9" ht="15" customHeight="1" x14ac:dyDescent="0.2">
      <c r="B29" t="s">
        <v>111</v>
      </c>
      <c r="C29" s="12">
        <v>164</v>
      </c>
      <c r="D29" s="8">
        <v>6.04</v>
      </c>
      <c r="E29" s="12">
        <v>125</v>
      </c>
      <c r="F29" s="8">
        <v>14.11</v>
      </c>
      <c r="G29" s="12">
        <v>39</v>
      </c>
      <c r="H29" s="8">
        <v>2.14</v>
      </c>
      <c r="I29" s="12">
        <v>0</v>
      </c>
    </row>
    <row r="30" spans="2:9" ht="15" customHeight="1" x14ac:dyDescent="0.2">
      <c r="B30" t="s">
        <v>106</v>
      </c>
      <c r="C30" s="12">
        <v>122</v>
      </c>
      <c r="D30" s="8">
        <v>4.49</v>
      </c>
      <c r="E30" s="12">
        <v>57</v>
      </c>
      <c r="F30" s="8">
        <v>6.43</v>
      </c>
      <c r="G30" s="12">
        <v>65</v>
      </c>
      <c r="H30" s="8">
        <v>3.57</v>
      </c>
      <c r="I30" s="12">
        <v>0</v>
      </c>
    </row>
    <row r="31" spans="2:9" ht="15" customHeight="1" x14ac:dyDescent="0.2">
      <c r="B31" t="s">
        <v>114</v>
      </c>
      <c r="C31" s="12">
        <v>94</v>
      </c>
      <c r="D31" s="8">
        <v>3.46</v>
      </c>
      <c r="E31" s="12">
        <v>53</v>
      </c>
      <c r="F31" s="8">
        <v>5.98</v>
      </c>
      <c r="G31" s="12">
        <v>37</v>
      </c>
      <c r="H31" s="8">
        <v>2.0299999999999998</v>
      </c>
      <c r="I31" s="12">
        <v>0</v>
      </c>
    </row>
    <row r="32" spans="2:9" ht="15" customHeight="1" x14ac:dyDescent="0.2">
      <c r="B32" t="s">
        <v>115</v>
      </c>
      <c r="C32" s="12">
        <v>93</v>
      </c>
      <c r="D32" s="8">
        <v>3.43</v>
      </c>
      <c r="E32" s="12">
        <v>77</v>
      </c>
      <c r="F32" s="8">
        <v>8.69</v>
      </c>
      <c r="G32" s="12">
        <v>16</v>
      </c>
      <c r="H32" s="8">
        <v>0.88</v>
      </c>
      <c r="I32" s="12">
        <v>0</v>
      </c>
    </row>
    <row r="33" spans="2:9" ht="15" customHeight="1" x14ac:dyDescent="0.2">
      <c r="B33" t="s">
        <v>104</v>
      </c>
      <c r="C33" s="12">
        <v>83</v>
      </c>
      <c r="D33" s="8">
        <v>3.06</v>
      </c>
      <c r="E33" s="12">
        <v>57</v>
      </c>
      <c r="F33" s="8">
        <v>6.43</v>
      </c>
      <c r="G33" s="12">
        <v>26</v>
      </c>
      <c r="H33" s="8">
        <v>1.43</v>
      </c>
      <c r="I33" s="12">
        <v>0</v>
      </c>
    </row>
    <row r="34" spans="2:9" ht="15" customHeight="1" x14ac:dyDescent="0.2">
      <c r="B34" t="s">
        <v>105</v>
      </c>
      <c r="C34" s="12">
        <v>74</v>
      </c>
      <c r="D34" s="8">
        <v>2.73</v>
      </c>
      <c r="E34" s="12">
        <v>31</v>
      </c>
      <c r="F34" s="8">
        <v>3.5</v>
      </c>
      <c r="G34" s="12">
        <v>43</v>
      </c>
      <c r="H34" s="8">
        <v>2.36</v>
      </c>
      <c r="I34" s="12">
        <v>0</v>
      </c>
    </row>
    <row r="35" spans="2:9" ht="15" customHeight="1" x14ac:dyDescent="0.2">
      <c r="B35" t="s">
        <v>109</v>
      </c>
      <c r="C35" s="12">
        <v>71</v>
      </c>
      <c r="D35" s="8">
        <v>2.62</v>
      </c>
      <c r="E35" s="12">
        <v>31</v>
      </c>
      <c r="F35" s="8">
        <v>3.5</v>
      </c>
      <c r="G35" s="12">
        <v>40</v>
      </c>
      <c r="H35" s="8">
        <v>2.2000000000000002</v>
      </c>
      <c r="I35" s="12">
        <v>0</v>
      </c>
    </row>
    <row r="36" spans="2:9" ht="15" customHeight="1" x14ac:dyDescent="0.2">
      <c r="B36" t="s">
        <v>110</v>
      </c>
      <c r="C36" s="12">
        <v>54</v>
      </c>
      <c r="D36" s="8">
        <v>1.99</v>
      </c>
      <c r="E36" s="12">
        <v>18</v>
      </c>
      <c r="F36" s="8">
        <v>2.0299999999999998</v>
      </c>
      <c r="G36" s="12">
        <v>36</v>
      </c>
      <c r="H36" s="8">
        <v>1.98</v>
      </c>
      <c r="I36" s="12">
        <v>0</v>
      </c>
    </row>
    <row r="37" spans="2:9" ht="15" customHeight="1" x14ac:dyDescent="0.2">
      <c r="B37" t="s">
        <v>100</v>
      </c>
      <c r="C37" s="12">
        <v>53</v>
      </c>
      <c r="D37" s="8">
        <v>1.95</v>
      </c>
      <c r="E37" s="12">
        <v>13</v>
      </c>
      <c r="F37" s="8">
        <v>1.47</v>
      </c>
      <c r="G37" s="12">
        <v>40</v>
      </c>
      <c r="H37" s="8">
        <v>2.2000000000000002</v>
      </c>
      <c r="I37" s="12">
        <v>0</v>
      </c>
    </row>
    <row r="38" spans="2:9" ht="15" customHeight="1" x14ac:dyDescent="0.2">
      <c r="B38" t="s">
        <v>107</v>
      </c>
      <c r="C38" s="12">
        <v>47</v>
      </c>
      <c r="D38" s="8">
        <v>1.73</v>
      </c>
      <c r="E38" s="12">
        <v>4</v>
      </c>
      <c r="F38" s="8">
        <v>0.45</v>
      </c>
      <c r="G38" s="12">
        <v>43</v>
      </c>
      <c r="H38" s="8">
        <v>2.36</v>
      </c>
      <c r="I38" s="12">
        <v>0</v>
      </c>
    </row>
    <row r="39" spans="2:9" ht="15" customHeight="1" x14ac:dyDescent="0.2">
      <c r="B39" t="s">
        <v>101</v>
      </c>
      <c r="C39" s="12">
        <v>44</v>
      </c>
      <c r="D39" s="8">
        <v>1.62</v>
      </c>
      <c r="E39" s="12">
        <v>5</v>
      </c>
      <c r="F39" s="8">
        <v>0.56000000000000005</v>
      </c>
      <c r="G39" s="12">
        <v>39</v>
      </c>
      <c r="H39" s="8">
        <v>2.14</v>
      </c>
      <c r="I39" s="12">
        <v>0</v>
      </c>
    </row>
    <row r="40" spans="2:9" ht="15" customHeight="1" x14ac:dyDescent="0.2">
      <c r="B40" t="s">
        <v>113</v>
      </c>
      <c r="C40" s="12">
        <v>38</v>
      </c>
      <c r="D40" s="8">
        <v>1.4</v>
      </c>
      <c r="E40" s="12">
        <v>13</v>
      </c>
      <c r="F40" s="8">
        <v>1.47</v>
      </c>
      <c r="G40" s="12">
        <v>25</v>
      </c>
      <c r="H40" s="8">
        <v>1.37</v>
      </c>
      <c r="I40" s="12">
        <v>0</v>
      </c>
    </row>
    <row r="41" spans="2:9" ht="15" customHeight="1" x14ac:dyDescent="0.2">
      <c r="B41" t="s">
        <v>131</v>
      </c>
      <c r="C41" s="12">
        <v>37</v>
      </c>
      <c r="D41" s="8">
        <v>1.36</v>
      </c>
      <c r="E41" s="12">
        <v>8</v>
      </c>
      <c r="F41" s="8">
        <v>0.9</v>
      </c>
      <c r="G41" s="12">
        <v>29</v>
      </c>
      <c r="H41" s="8">
        <v>1.59</v>
      </c>
      <c r="I41" s="12">
        <v>0</v>
      </c>
    </row>
    <row r="42" spans="2:9" ht="15" customHeight="1" x14ac:dyDescent="0.2">
      <c r="B42" t="s">
        <v>125</v>
      </c>
      <c r="C42" s="12">
        <v>37</v>
      </c>
      <c r="D42" s="8">
        <v>1.36</v>
      </c>
      <c r="E42" s="12">
        <v>4</v>
      </c>
      <c r="F42" s="8">
        <v>0.45</v>
      </c>
      <c r="G42" s="12">
        <v>33</v>
      </c>
      <c r="H42" s="8">
        <v>1.81</v>
      </c>
      <c r="I42" s="12">
        <v>0</v>
      </c>
    </row>
    <row r="43" spans="2:9" ht="15" customHeight="1" x14ac:dyDescent="0.2">
      <c r="B43" t="s">
        <v>102</v>
      </c>
      <c r="C43" s="12">
        <v>36</v>
      </c>
      <c r="D43" s="8">
        <v>1.33</v>
      </c>
      <c r="E43" s="12">
        <v>3</v>
      </c>
      <c r="F43" s="8">
        <v>0.34</v>
      </c>
      <c r="G43" s="12">
        <v>33</v>
      </c>
      <c r="H43" s="8">
        <v>1.81</v>
      </c>
      <c r="I43" s="12">
        <v>0</v>
      </c>
    </row>
    <row r="44" spans="2:9" ht="15" customHeight="1" x14ac:dyDescent="0.2">
      <c r="B44" t="s">
        <v>103</v>
      </c>
      <c r="C44" s="12">
        <v>36</v>
      </c>
      <c r="D44" s="8">
        <v>1.33</v>
      </c>
      <c r="E44" s="12">
        <v>15</v>
      </c>
      <c r="F44" s="8">
        <v>1.69</v>
      </c>
      <c r="G44" s="12">
        <v>21</v>
      </c>
      <c r="H44" s="8">
        <v>1.1499999999999999</v>
      </c>
      <c r="I44" s="12">
        <v>0</v>
      </c>
    </row>
    <row r="47" spans="2:9" ht="33" customHeight="1" x14ac:dyDescent="0.2">
      <c r="B47" t="s">
        <v>271</v>
      </c>
      <c r="C47" s="10" t="s">
        <v>90</v>
      </c>
      <c r="D47" s="10" t="s">
        <v>91</v>
      </c>
      <c r="E47" s="10" t="s">
        <v>92</v>
      </c>
      <c r="F47" s="10" t="s">
        <v>93</v>
      </c>
      <c r="G47" s="10" t="s">
        <v>94</v>
      </c>
      <c r="H47" s="10" t="s">
        <v>95</v>
      </c>
      <c r="I47" s="10" t="s">
        <v>96</v>
      </c>
    </row>
    <row r="48" spans="2:9" ht="15" customHeight="1" x14ac:dyDescent="0.2">
      <c r="B48" t="s">
        <v>173</v>
      </c>
      <c r="C48" s="12">
        <v>107</v>
      </c>
      <c r="D48" s="8">
        <v>3.94</v>
      </c>
      <c r="E48" s="12">
        <v>90</v>
      </c>
      <c r="F48" s="8">
        <v>10.16</v>
      </c>
      <c r="G48" s="12">
        <v>17</v>
      </c>
      <c r="H48" s="8">
        <v>0.93</v>
      </c>
      <c r="I48" s="12">
        <v>0</v>
      </c>
    </row>
    <row r="49" spans="2:9" ht="15" customHeight="1" x14ac:dyDescent="0.2">
      <c r="B49" t="s">
        <v>167</v>
      </c>
      <c r="C49" s="12">
        <v>91</v>
      </c>
      <c r="D49" s="8">
        <v>3.35</v>
      </c>
      <c r="E49" s="12">
        <v>20</v>
      </c>
      <c r="F49" s="8">
        <v>2.2599999999999998</v>
      </c>
      <c r="G49" s="12">
        <v>71</v>
      </c>
      <c r="H49" s="8">
        <v>3.9</v>
      </c>
      <c r="I49" s="12">
        <v>0</v>
      </c>
    </row>
    <row r="50" spans="2:9" ht="15" customHeight="1" x14ac:dyDescent="0.2">
      <c r="B50" t="s">
        <v>161</v>
      </c>
      <c r="C50" s="12">
        <v>90</v>
      </c>
      <c r="D50" s="8">
        <v>3.31</v>
      </c>
      <c r="E50" s="12">
        <v>11</v>
      </c>
      <c r="F50" s="8">
        <v>1.24</v>
      </c>
      <c r="G50" s="12">
        <v>79</v>
      </c>
      <c r="H50" s="8">
        <v>4.34</v>
      </c>
      <c r="I50" s="12">
        <v>0</v>
      </c>
    </row>
    <row r="51" spans="2:9" ht="15" customHeight="1" x14ac:dyDescent="0.2">
      <c r="B51" t="s">
        <v>160</v>
      </c>
      <c r="C51" s="12">
        <v>85</v>
      </c>
      <c r="D51" s="8">
        <v>3.13</v>
      </c>
      <c r="E51" s="12">
        <v>7</v>
      </c>
      <c r="F51" s="8">
        <v>0.79</v>
      </c>
      <c r="G51" s="12">
        <v>78</v>
      </c>
      <c r="H51" s="8">
        <v>4.29</v>
      </c>
      <c r="I51" s="12">
        <v>0</v>
      </c>
    </row>
    <row r="52" spans="2:9" ht="15" customHeight="1" x14ac:dyDescent="0.2">
      <c r="B52" t="s">
        <v>166</v>
      </c>
      <c r="C52" s="12">
        <v>70</v>
      </c>
      <c r="D52" s="8">
        <v>2.58</v>
      </c>
      <c r="E52" s="12">
        <v>8</v>
      </c>
      <c r="F52" s="8">
        <v>0.9</v>
      </c>
      <c r="G52" s="12">
        <v>62</v>
      </c>
      <c r="H52" s="8">
        <v>3.41</v>
      </c>
      <c r="I52" s="12">
        <v>0</v>
      </c>
    </row>
    <row r="53" spans="2:9" ht="15" customHeight="1" x14ac:dyDescent="0.2">
      <c r="B53" t="s">
        <v>175</v>
      </c>
      <c r="C53" s="12">
        <v>66</v>
      </c>
      <c r="D53" s="8">
        <v>2.4300000000000002</v>
      </c>
      <c r="E53" s="12">
        <v>57</v>
      </c>
      <c r="F53" s="8">
        <v>6.43</v>
      </c>
      <c r="G53" s="12">
        <v>9</v>
      </c>
      <c r="H53" s="8">
        <v>0.49</v>
      </c>
      <c r="I53" s="12">
        <v>0</v>
      </c>
    </row>
    <row r="54" spans="2:9" ht="15" customHeight="1" x14ac:dyDescent="0.2">
      <c r="B54" t="s">
        <v>172</v>
      </c>
      <c r="C54" s="12">
        <v>62</v>
      </c>
      <c r="D54" s="8">
        <v>2.2799999999999998</v>
      </c>
      <c r="E54" s="12">
        <v>57</v>
      </c>
      <c r="F54" s="8">
        <v>6.43</v>
      </c>
      <c r="G54" s="12">
        <v>5</v>
      </c>
      <c r="H54" s="8">
        <v>0.27</v>
      </c>
      <c r="I54" s="12">
        <v>0</v>
      </c>
    </row>
    <row r="55" spans="2:9" ht="15" customHeight="1" x14ac:dyDescent="0.2">
      <c r="B55" t="s">
        <v>177</v>
      </c>
      <c r="C55" s="12">
        <v>60</v>
      </c>
      <c r="D55" s="8">
        <v>2.21</v>
      </c>
      <c r="E55" s="12">
        <v>9</v>
      </c>
      <c r="F55" s="8">
        <v>1.02</v>
      </c>
      <c r="G55" s="12">
        <v>51</v>
      </c>
      <c r="H55" s="8">
        <v>2.8</v>
      </c>
      <c r="I55" s="12">
        <v>0</v>
      </c>
    </row>
    <row r="56" spans="2:9" ht="15" customHeight="1" x14ac:dyDescent="0.2">
      <c r="B56" t="s">
        <v>170</v>
      </c>
      <c r="C56" s="12">
        <v>54</v>
      </c>
      <c r="D56" s="8">
        <v>1.99</v>
      </c>
      <c r="E56" s="12">
        <v>42</v>
      </c>
      <c r="F56" s="8">
        <v>4.74</v>
      </c>
      <c r="G56" s="12">
        <v>12</v>
      </c>
      <c r="H56" s="8">
        <v>0.66</v>
      </c>
      <c r="I56" s="12">
        <v>0</v>
      </c>
    </row>
    <row r="57" spans="2:9" ht="15" customHeight="1" x14ac:dyDescent="0.2">
      <c r="B57" t="s">
        <v>158</v>
      </c>
      <c r="C57" s="12">
        <v>52</v>
      </c>
      <c r="D57" s="8">
        <v>1.92</v>
      </c>
      <c r="E57" s="12">
        <v>2</v>
      </c>
      <c r="F57" s="8">
        <v>0.23</v>
      </c>
      <c r="G57" s="12">
        <v>50</v>
      </c>
      <c r="H57" s="8">
        <v>2.75</v>
      </c>
      <c r="I57" s="12">
        <v>0</v>
      </c>
    </row>
    <row r="58" spans="2:9" ht="15" customHeight="1" x14ac:dyDescent="0.2">
      <c r="B58" t="s">
        <v>168</v>
      </c>
      <c r="C58" s="12">
        <v>50</v>
      </c>
      <c r="D58" s="8">
        <v>1.84</v>
      </c>
      <c r="E58" s="12">
        <v>1</v>
      </c>
      <c r="F58" s="8">
        <v>0.11</v>
      </c>
      <c r="G58" s="12">
        <v>49</v>
      </c>
      <c r="H58" s="8">
        <v>2.69</v>
      </c>
      <c r="I58" s="12">
        <v>0</v>
      </c>
    </row>
    <row r="59" spans="2:9" ht="15" customHeight="1" x14ac:dyDescent="0.2">
      <c r="B59" t="s">
        <v>157</v>
      </c>
      <c r="C59" s="12">
        <v>49</v>
      </c>
      <c r="D59" s="8">
        <v>1.8</v>
      </c>
      <c r="E59" s="12">
        <v>6</v>
      </c>
      <c r="F59" s="8">
        <v>0.68</v>
      </c>
      <c r="G59" s="12">
        <v>43</v>
      </c>
      <c r="H59" s="8">
        <v>2.36</v>
      </c>
      <c r="I59" s="12">
        <v>0</v>
      </c>
    </row>
    <row r="60" spans="2:9" ht="15" customHeight="1" x14ac:dyDescent="0.2">
      <c r="B60" t="s">
        <v>159</v>
      </c>
      <c r="C60" s="12">
        <v>49</v>
      </c>
      <c r="D60" s="8">
        <v>1.8</v>
      </c>
      <c r="E60" s="12">
        <v>6</v>
      </c>
      <c r="F60" s="8">
        <v>0.68</v>
      </c>
      <c r="G60" s="12">
        <v>43</v>
      </c>
      <c r="H60" s="8">
        <v>2.36</v>
      </c>
      <c r="I60" s="12">
        <v>0</v>
      </c>
    </row>
    <row r="61" spans="2:9" ht="15" customHeight="1" x14ac:dyDescent="0.2">
      <c r="B61" t="s">
        <v>174</v>
      </c>
      <c r="C61" s="12">
        <v>49</v>
      </c>
      <c r="D61" s="8">
        <v>1.8</v>
      </c>
      <c r="E61" s="12">
        <v>34</v>
      </c>
      <c r="F61" s="8">
        <v>3.84</v>
      </c>
      <c r="G61" s="12">
        <v>15</v>
      </c>
      <c r="H61" s="8">
        <v>0.82</v>
      </c>
      <c r="I61" s="12">
        <v>0</v>
      </c>
    </row>
    <row r="62" spans="2:9" ht="15" customHeight="1" x14ac:dyDescent="0.2">
      <c r="B62" t="s">
        <v>171</v>
      </c>
      <c r="C62" s="12">
        <v>48</v>
      </c>
      <c r="D62" s="8">
        <v>1.77</v>
      </c>
      <c r="E62" s="12">
        <v>24</v>
      </c>
      <c r="F62" s="8">
        <v>2.71</v>
      </c>
      <c r="G62" s="12">
        <v>24</v>
      </c>
      <c r="H62" s="8">
        <v>1.32</v>
      </c>
      <c r="I62" s="12">
        <v>0</v>
      </c>
    </row>
    <row r="63" spans="2:9" ht="15" customHeight="1" x14ac:dyDescent="0.2">
      <c r="B63" t="s">
        <v>182</v>
      </c>
      <c r="C63" s="12">
        <v>46</v>
      </c>
      <c r="D63" s="8">
        <v>1.69</v>
      </c>
      <c r="E63" s="12">
        <v>6</v>
      </c>
      <c r="F63" s="8">
        <v>0.68</v>
      </c>
      <c r="G63" s="12">
        <v>40</v>
      </c>
      <c r="H63" s="8">
        <v>2.2000000000000002</v>
      </c>
      <c r="I63" s="12">
        <v>0</v>
      </c>
    </row>
    <row r="64" spans="2:9" ht="15" customHeight="1" x14ac:dyDescent="0.2">
      <c r="B64" t="s">
        <v>163</v>
      </c>
      <c r="C64" s="12">
        <v>44</v>
      </c>
      <c r="D64" s="8">
        <v>1.62</v>
      </c>
      <c r="E64" s="12">
        <v>17</v>
      </c>
      <c r="F64" s="8">
        <v>1.92</v>
      </c>
      <c r="G64" s="12">
        <v>27</v>
      </c>
      <c r="H64" s="8">
        <v>1.48</v>
      </c>
      <c r="I64" s="12">
        <v>0</v>
      </c>
    </row>
    <row r="65" spans="2:9" ht="15" customHeight="1" x14ac:dyDescent="0.2">
      <c r="B65" t="s">
        <v>197</v>
      </c>
      <c r="C65" s="12">
        <v>41</v>
      </c>
      <c r="D65" s="8">
        <v>1.51</v>
      </c>
      <c r="E65" s="12">
        <v>13</v>
      </c>
      <c r="F65" s="8">
        <v>1.47</v>
      </c>
      <c r="G65" s="12">
        <v>28</v>
      </c>
      <c r="H65" s="8">
        <v>1.54</v>
      </c>
      <c r="I65" s="12">
        <v>0</v>
      </c>
    </row>
    <row r="66" spans="2:9" ht="15" customHeight="1" x14ac:dyDescent="0.2">
      <c r="B66" t="s">
        <v>181</v>
      </c>
      <c r="C66" s="12">
        <v>40</v>
      </c>
      <c r="D66" s="8">
        <v>1.47</v>
      </c>
      <c r="E66" s="12">
        <v>7</v>
      </c>
      <c r="F66" s="8">
        <v>0.79</v>
      </c>
      <c r="G66" s="12">
        <v>33</v>
      </c>
      <c r="H66" s="8">
        <v>1.81</v>
      </c>
      <c r="I66" s="12">
        <v>0</v>
      </c>
    </row>
    <row r="67" spans="2:9" ht="15" customHeight="1" x14ac:dyDescent="0.2">
      <c r="B67" t="s">
        <v>164</v>
      </c>
      <c r="C67" s="12">
        <v>36</v>
      </c>
      <c r="D67" s="8">
        <v>1.33</v>
      </c>
      <c r="E67" s="12">
        <v>23</v>
      </c>
      <c r="F67" s="8">
        <v>2.6</v>
      </c>
      <c r="G67" s="12">
        <v>13</v>
      </c>
      <c r="H67" s="8">
        <v>0.71</v>
      </c>
      <c r="I67" s="12">
        <v>0</v>
      </c>
    </row>
    <row r="68" spans="2:9" ht="15" customHeight="1" x14ac:dyDescent="0.2">
      <c r="B68" t="s">
        <v>165</v>
      </c>
      <c r="C68" s="12">
        <v>36</v>
      </c>
      <c r="D68" s="8">
        <v>1.33</v>
      </c>
      <c r="E68" s="12">
        <v>3</v>
      </c>
      <c r="F68" s="8">
        <v>0.34</v>
      </c>
      <c r="G68" s="12">
        <v>33</v>
      </c>
      <c r="H68" s="8">
        <v>1.81</v>
      </c>
      <c r="I68" s="12">
        <v>0</v>
      </c>
    </row>
    <row r="70" spans="2:9" ht="15" customHeight="1" x14ac:dyDescent="0.2">
      <c r="B70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E539-746A-40EB-A5FC-680172ED09F2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309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198</v>
      </c>
      <c r="D6" s="8">
        <v>15.31</v>
      </c>
      <c r="E6" s="12">
        <v>54</v>
      </c>
      <c r="F6" s="8">
        <v>9.26</v>
      </c>
      <c r="G6" s="12">
        <v>144</v>
      </c>
      <c r="H6" s="8">
        <v>20.51</v>
      </c>
      <c r="I6" s="12">
        <v>0</v>
      </c>
    </row>
    <row r="7" spans="2:9" ht="15" customHeight="1" x14ac:dyDescent="0.2">
      <c r="B7" t="s">
        <v>76</v>
      </c>
      <c r="C7" s="12">
        <v>95</v>
      </c>
      <c r="D7" s="8">
        <v>7.35</v>
      </c>
      <c r="E7" s="12">
        <v>22</v>
      </c>
      <c r="F7" s="8">
        <v>3.77</v>
      </c>
      <c r="G7" s="12">
        <v>73</v>
      </c>
      <c r="H7" s="8">
        <v>10.4</v>
      </c>
      <c r="I7" s="12">
        <v>0</v>
      </c>
    </row>
    <row r="8" spans="2:9" ht="15" customHeight="1" x14ac:dyDescent="0.2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78</v>
      </c>
      <c r="C9" s="12">
        <v>13</v>
      </c>
      <c r="D9" s="8">
        <v>1.01</v>
      </c>
      <c r="E9" s="12">
        <v>0</v>
      </c>
      <c r="F9" s="8">
        <v>0</v>
      </c>
      <c r="G9" s="12">
        <v>13</v>
      </c>
      <c r="H9" s="8">
        <v>1.85</v>
      </c>
      <c r="I9" s="12">
        <v>0</v>
      </c>
    </row>
    <row r="10" spans="2:9" ht="15" customHeight="1" x14ac:dyDescent="0.2">
      <c r="B10" t="s">
        <v>79</v>
      </c>
      <c r="C10" s="12">
        <v>15</v>
      </c>
      <c r="D10" s="8">
        <v>1.1599999999999999</v>
      </c>
      <c r="E10" s="12">
        <v>2</v>
      </c>
      <c r="F10" s="8">
        <v>0.34</v>
      </c>
      <c r="G10" s="12">
        <v>13</v>
      </c>
      <c r="H10" s="8">
        <v>1.85</v>
      </c>
      <c r="I10" s="12">
        <v>0</v>
      </c>
    </row>
    <row r="11" spans="2:9" ht="15" customHeight="1" x14ac:dyDescent="0.2">
      <c r="B11" t="s">
        <v>80</v>
      </c>
      <c r="C11" s="12">
        <v>251</v>
      </c>
      <c r="D11" s="8">
        <v>19.41</v>
      </c>
      <c r="E11" s="12">
        <v>85</v>
      </c>
      <c r="F11" s="8">
        <v>14.58</v>
      </c>
      <c r="G11" s="12">
        <v>166</v>
      </c>
      <c r="H11" s="8">
        <v>23.65</v>
      </c>
      <c r="I11" s="12">
        <v>0</v>
      </c>
    </row>
    <row r="12" spans="2:9" ht="15" customHeight="1" x14ac:dyDescent="0.2">
      <c r="B12" t="s">
        <v>81</v>
      </c>
      <c r="C12" s="12">
        <v>7</v>
      </c>
      <c r="D12" s="8">
        <v>0.54</v>
      </c>
      <c r="E12" s="12">
        <v>2</v>
      </c>
      <c r="F12" s="8">
        <v>0.34</v>
      </c>
      <c r="G12" s="12">
        <v>5</v>
      </c>
      <c r="H12" s="8">
        <v>0.71</v>
      </c>
      <c r="I12" s="12">
        <v>0</v>
      </c>
    </row>
    <row r="13" spans="2:9" ht="15" customHeight="1" x14ac:dyDescent="0.2">
      <c r="B13" t="s">
        <v>82</v>
      </c>
      <c r="C13" s="12">
        <v>160</v>
      </c>
      <c r="D13" s="8">
        <v>12.37</v>
      </c>
      <c r="E13" s="12">
        <v>42</v>
      </c>
      <c r="F13" s="8">
        <v>7.2</v>
      </c>
      <c r="G13" s="12">
        <v>118</v>
      </c>
      <c r="H13" s="8">
        <v>16.809999999999999</v>
      </c>
      <c r="I13" s="12">
        <v>0</v>
      </c>
    </row>
    <row r="14" spans="2:9" ht="15" customHeight="1" x14ac:dyDescent="0.2">
      <c r="B14" t="s">
        <v>83</v>
      </c>
      <c r="C14" s="12">
        <v>67</v>
      </c>
      <c r="D14" s="8">
        <v>5.18</v>
      </c>
      <c r="E14" s="12">
        <v>33</v>
      </c>
      <c r="F14" s="8">
        <v>5.66</v>
      </c>
      <c r="G14" s="12">
        <v>31</v>
      </c>
      <c r="H14" s="8">
        <v>4.42</v>
      </c>
      <c r="I14" s="12">
        <v>1</v>
      </c>
    </row>
    <row r="15" spans="2:9" ht="15" customHeight="1" x14ac:dyDescent="0.2">
      <c r="B15" t="s">
        <v>84</v>
      </c>
      <c r="C15" s="12">
        <v>114</v>
      </c>
      <c r="D15" s="8">
        <v>8.82</v>
      </c>
      <c r="E15" s="12">
        <v>87</v>
      </c>
      <c r="F15" s="8">
        <v>14.92</v>
      </c>
      <c r="G15" s="12">
        <v>27</v>
      </c>
      <c r="H15" s="8">
        <v>3.85</v>
      </c>
      <c r="I15" s="12">
        <v>0</v>
      </c>
    </row>
    <row r="16" spans="2:9" ht="15" customHeight="1" x14ac:dyDescent="0.2">
      <c r="B16" t="s">
        <v>85</v>
      </c>
      <c r="C16" s="12">
        <v>200</v>
      </c>
      <c r="D16" s="8">
        <v>15.47</v>
      </c>
      <c r="E16" s="12">
        <v>158</v>
      </c>
      <c r="F16" s="8">
        <v>27.1</v>
      </c>
      <c r="G16" s="12">
        <v>42</v>
      </c>
      <c r="H16" s="8">
        <v>5.98</v>
      </c>
      <c r="I16" s="12">
        <v>0</v>
      </c>
    </row>
    <row r="17" spans="2:9" ht="15" customHeight="1" x14ac:dyDescent="0.2">
      <c r="B17" t="s">
        <v>86</v>
      </c>
      <c r="C17" s="12">
        <v>77</v>
      </c>
      <c r="D17" s="8">
        <v>5.96</v>
      </c>
      <c r="E17" s="12">
        <v>45</v>
      </c>
      <c r="F17" s="8">
        <v>7.72</v>
      </c>
      <c r="G17" s="12">
        <v>28</v>
      </c>
      <c r="H17" s="8">
        <v>3.99</v>
      </c>
      <c r="I17" s="12">
        <v>1</v>
      </c>
    </row>
    <row r="18" spans="2:9" ht="15" customHeight="1" x14ac:dyDescent="0.2">
      <c r="B18" t="s">
        <v>87</v>
      </c>
      <c r="C18" s="12">
        <v>50</v>
      </c>
      <c r="D18" s="8">
        <v>3.87</v>
      </c>
      <c r="E18" s="12">
        <v>36</v>
      </c>
      <c r="F18" s="8">
        <v>6.17</v>
      </c>
      <c r="G18" s="12">
        <v>14</v>
      </c>
      <c r="H18" s="8">
        <v>1.99</v>
      </c>
      <c r="I18" s="12">
        <v>0</v>
      </c>
    </row>
    <row r="19" spans="2:9" ht="15" customHeight="1" x14ac:dyDescent="0.2">
      <c r="B19" t="s">
        <v>88</v>
      </c>
      <c r="C19" s="12">
        <v>46</v>
      </c>
      <c r="D19" s="8">
        <v>3.56</v>
      </c>
      <c r="E19" s="12">
        <v>17</v>
      </c>
      <c r="F19" s="8">
        <v>2.92</v>
      </c>
      <c r="G19" s="12">
        <v>28</v>
      </c>
      <c r="H19" s="8">
        <v>3.99</v>
      </c>
      <c r="I19" s="12">
        <v>1</v>
      </c>
    </row>
    <row r="20" spans="2:9" ht="15" customHeight="1" x14ac:dyDescent="0.2">
      <c r="B20" s="9" t="s">
        <v>269</v>
      </c>
      <c r="C20" s="12">
        <f>SUM(LTBL_11231[総数／事業所数])</f>
        <v>1293</v>
      </c>
      <c r="E20" s="12">
        <f>SUBTOTAL(109,LTBL_11231[個人／事業所数])</f>
        <v>583</v>
      </c>
      <c r="G20" s="12">
        <f>SUBTOTAL(109,LTBL_11231[法人／事業所数])</f>
        <v>702</v>
      </c>
      <c r="I20" s="12">
        <f>SUBTOTAL(109,LTBL_11231[法人以外の団体／事業所数])</f>
        <v>3</v>
      </c>
    </row>
    <row r="21" spans="2:9" ht="15" customHeight="1" x14ac:dyDescent="0.2">
      <c r="E21" s="11">
        <f>LTBL_11231[[#Totals],[個人／事業所数]]/LTBL_11231[[#Totals],[総数／事業所数]]</f>
        <v>0.4508894044856922</v>
      </c>
      <c r="G21" s="11">
        <f>LTBL_11231[[#Totals],[法人／事業所数]]/LTBL_11231[[#Totals],[総数／事業所数]]</f>
        <v>0.54292343387470998</v>
      </c>
      <c r="I21" s="11">
        <f>LTBL_11231[[#Totals],[法人以外の団体／事業所数]]/LTBL_11231[[#Totals],[総数／事業所数]]</f>
        <v>2.3201856148491878E-3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150</v>
      </c>
      <c r="D24" s="8">
        <v>11.6</v>
      </c>
      <c r="E24" s="12">
        <v>121</v>
      </c>
      <c r="F24" s="8">
        <v>20.75</v>
      </c>
      <c r="G24" s="12">
        <v>29</v>
      </c>
      <c r="H24" s="8">
        <v>4.13</v>
      </c>
      <c r="I24" s="12">
        <v>0</v>
      </c>
    </row>
    <row r="25" spans="2:9" ht="15" customHeight="1" x14ac:dyDescent="0.2">
      <c r="B25" t="s">
        <v>108</v>
      </c>
      <c r="C25" s="12">
        <v>123</v>
      </c>
      <c r="D25" s="8">
        <v>9.51</v>
      </c>
      <c r="E25" s="12">
        <v>36</v>
      </c>
      <c r="F25" s="8">
        <v>6.17</v>
      </c>
      <c r="G25" s="12">
        <v>87</v>
      </c>
      <c r="H25" s="8">
        <v>12.39</v>
      </c>
      <c r="I25" s="12">
        <v>0</v>
      </c>
    </row>
    <row r="26" spans="2:9" ht="15" customHeight="1" x14ac:dyDescent="0.2">
      <c r="B26" t="s">
        <v>111</v>
      </c>
      <c r="C26" s="12">
        <v>105</v>
      </c>
      <c r="D26" s="8">
        <v>8.1199999999999992</v>
      </c>
      <c r="E26" s="12">
        <v>86</v>
      </c>
      <c r="F26" s="8">
        <v>14.75</v>
      </c>
      <c r="G26" s="12">
        <v>19</v>
      </c>
      <c r="H26" s="8">
        <v>2.71</v>
      </c>
      <c r="I26" s="12">
        <v>0</v>
      </c>
    </row>
    <row r="27" spans="2:9" ht="15" customHeight="1" x14ac:dyDescent="0.2">
      <c r="B27" t="s">
        <v>114</v>
      </c>
      <c r="C27" s="12">
        <v>77</v>
      </c>
      <c r="D27" s="8">
        <v>5.96</v>
      </c>
      <c r="E27" s="12">
        <v>45</v>
      </c>
      <c r="F27" s="8">
        <v>7.72</v>
      </c>
      <c r="G27" s="12">
        <v>28</v>
      </c>
      <c r="H27" s="8">
        <v>3.99</v>
      </c>
      <c r="I27" s="12">
        <v>1</v>
      </c>
    </row>
    <row r="28" spans="2:9" ht="15" customHeight="1" x14ac:dyDescent="0.2">
      <c r="B28" t="s">
        <v>98</v>
      </c>
      <c r="C28" s="12">
        <v>76</v>
      </c>
      <c r="D28" s="8">
        <v>5.88</v>
      </c>
      <c r="E28" s="12">
        <v>27</v>
      </c>
      <c r="F28" s="8">
        <v>4.63</v>
      </c>
      <c r="G28" s="12">
        <v>49</v>
      </c>
      <c r="H28" s="8">
        <v>6.98</v>
      </c>
      <c r="I28" s="12">
        <v>0</v>
      </c>
    </row>
    <row r="29" spans="2:9" ht="15" customHeight="1" x14ac:dyDescent="0.2">
      <c r="B29" t="s">
        <v>106</v>
      </c>
      <c r="C29" s="12">
        <v>70</v>
      </c>
      <c r="D29" s="8">
        <v>5.41</v>
      </c>
      <c r="E29" s="12">
        <v>25</v>
      </c>
      <c r="F29" s="8">
        <v>4.29</v>
      </c>
      <c r="G29" s="12">
        <v>45</v>
      </c>
      <c r="H29" s="8">
        <v>6.41</v>
      </c>
      <c r="I29" s="12">
        <v>0</v>
      </c>
    </row>
    <row r="30" spans="2:9" ht="15" customHeight="1" x14ac:dyDescent="0.2">
      <c r="B30" t="s">
        <v>97</v>
      </c>
      <c r="C30" s="12">
        <v>69</v>
      </c>
      <c r="D30" s="8">
        <v>5.34</v>
      </c>
      <c r="E30" s="12">
        <v>13</v>
      </c>
      <c r="F30" s="8">
        <v>2.23</v>
      </c>
      <c r="G30" s="12">
        <v>56</v>
      </c>
      <c r="H30" s="8">
        <v>7.98</v>
      </c>
      <c r="I30" s="12">
        <v>0</v>
      </c>
    </row>
    <row r="31" spans="2:9" ht="15" customHeight="1" x14ac:dyDescent="0.2">
      <c r="B31" t="s">
        <v>99</v>
      </c>
      <c r="C31" s="12">
        <v>53</v>
      </c>
      <c r="D31" s="8">
        <v>4.0999999999999996</v>
      </c>
      <c r="E31" s="12">
        <v>14</v>
      </c>
      <c r="F31" s="8">
        <v>2.4</v>
      </c>
      <c r="G31" s="12">
        <v>39</v>
      </c>
      <c r="H31" s="8">
        <v>5.56</v>
      </c>
      <c r="I31" s="12">
        <v>0</v>
      </c>
    </row>
    <row r="32" spans="2:9" ht="15" customHeight="1" x14ac:dyDescent="0.2">
      <c r="B32" t="s">
        <v>105</v>
      </c>
      <c r="C32" s="12">
        <v>52</v>
      </c>
      <c r="D32" s="8">
        <v>4.0199999999999996</v>
      </c>
      <c r="E32" s="12">
        <v>26</v>
      </c>
      <c r="F32" s="8">
        <v>4.46</v>
      </c>
      <c r="G32" s="12">
        <v>26</v>
      </c>
      <c r="H32" s="8">
        <v>3.7</v>
      </c>
      <c r="I32" s="12">
        <v>0</v>
      </c>
    </row>
    <row r="33" spans="2:9" ht="15" customHeight="1" x14ac:dyDescent="0.2">
      <c r="B33" t="s">
        <v>113</v>
      </c>
      <c r="C33" s="12">
        <v>47</v>
      </c>
      <c r="D33" s="8">
        <v>3.63</v>
      </c>
      <c r="E33" s="12">
        <v>34</v>
      </c>
      <c r="F33" s="8">
        <v>5.83</v>
      </c>
      <c r="G33" s="12">
        <v>13</v>
      </c>
      <c r="H33" s="8">
        <v>1.85</v>
      </c>
      <c r="I33" s="12">
        <v>0</v>
      </c>
    </row>
    <row r="34" spans="2:9" ht="15" customHeight="1" x14ac:dyDescent="0.2">
      <c r="B34" t="s">
        <v>104</v>
      </c>
      <c r="C34" s="12">
        <v>43</v>
      </c>
      <c r="D34" s="8">
        <v>3.33</v>
      </c>
      <c r="E34" s="12">
        <v>26</v>
      </c>
      <c r="F34" s="8">
        <v>4.46</v>
      </c>
      <c r="G34" s="12">
        <v>17</v>
      </c>
      <c r="H34" s="8">
        <v>2.42</v>
      </c>
      <c r="I34" s="12">
        <v>0</v>
      </c>
    </row>
    <row r="35" spans="2:9" ht="15" customHeight="1" x14ac:dyDescent="0.2">
      <c r="B35" t="s">
        <v>115</v>
      </c>
      <c r="C35" s="12">
        <v>40</v>
      </c>
      <c r="D35" s="8">
        <v>3.09</v>
      </c>
      <c r="E35" s="12">
        <v>36</v>
      </c>
      <c r="F35" s="8">
        <v>6.17</v>
      </c>
      <c r="G35" s="12">
        <v>4</v>
      </c>
      <c r="H35" s="8">
        <v>0.56999999999999995</v>
      </c>
      <c r="I35" s="12">
        <v>0</v>
      </c>
    </row>
    <row r="36" spans="2:9" ht="15" customHeight="1" x14ac:dyDescent="0.2">
      <c r="B36" t="s">
        <v>109</v>
      </c>
      <c r="C36" s="12">
        <v>34</v>
      </c>
      <c r="D36" s="8">
        <v>2.63</v>
      </c>
      <c r="E36" s="12">
        <v>22</v>
      </c>
      <c r="F36" s="8">
        <v>3.77</v>
      </c>
      <c r="G36" s="12">
        <v>11</v>
      </c>
      <c r="H36" s="8">
        <v>1.57</v>
      </c>
      <c r="I36" s="12">
        <v>1</v>
      </c>
    </row>
    <row r="37" spans="2:9" ht="15" customHeight="1" x14ac:dyDescent="0.2">
      <c r="B37" t="s">
        <v>107</v>
      </c>
      <c r="C37" s="12">
        <v>31</v>
      </c>
      <c r="D37" s="8">
        <v>2.4</v>
      </c>
      <c r="E37" s="12">
        <v>6</v>
      </c>
      <c r="F37" s="8">
        <v>1.03</v>
      </c>
      <c r="G37" s="12">
        <v>25</v>
      </c>
      <c r="H37" s="8">
        <v>3.56</v>
      </c>
      <c r="I37" s="12">
        <v>0</v>
      </c>
    </row>
    <row r="38" spans="2:9" ht="15" customHeight="1" x14ac:dyDescent="0.2">
      <c r="B38" t="s">
        <v>110</v>
      </c>
      <c r="C38" s="12">
        <v>31</v>
      </c>
      <c r="D38" s="8">
        <v>2.4</v>
      </c>
      <c r="E38" s="12">
        <v>11</v>
      </c>
      <c r="F38" s="8">
        <v>1.89</v>
      </c>
      <c r="G38" s="12">
        <v>18</v>
      </c>
      <c r="H38" s="8">
        <v>2.56</v>
      </c>
      <c r="I38" s="12">
        <v>0</v>
      </c>
    </row>
    <row r="39" spans="2:9" ht="15" customHeight="1" x14ac:dyDescent="0.2">
      <c r="B39" t="s">
        <v>103</v>
      </c>
      <c r="C39" s="12">
        <v>24</v>
      </c>
      <c r="D39" s="8">
        <v>1.86</v>
      </c>
      <c r="E39" s="12">
        <v>4</v>
      </c>
      <c r="F39" s="8">
        <v>0.69</v>
      </c>
      <c r="G39" s="12">
        <v>20</v>
      </c>
      <c r="H39" s="8">
        <v>2.85</v>
      </c>
      <c r="I39" s="12">
        <v>0</v>
      </c>
    </row>
    <row r="40" spans="2:9" ht="15" customHeight="1" x14ac:dyDescent="0.2">
      <c r="B40" t="s">
        <v>117</v>
      </c>
      <c r="C40" s="12">
        <v>17</v>
      </c>
      <c r="D40" s="8">
        <v>1.31</v>
      </c>
      <c r="E40" s="12">
        <v>1</v>
      </c>
      <c r="F40" s="8">
        <v>0.17</v>
      </c>
      <c r="G40" s="12">
        <v>16</v>
      </c>
      <c r="H40" s="8">
        <v>2.2799999999999998</v>
      </c>
      <c r="I40" s="12">
        <v>0</v>
      </c>
    </row>
    <row r="41" spans="2:9" ht="15" customHeight="1" x14ac:dyDescent="0.2">
      <c r="B41" t="s">
        <v>100</v>
      </c>
      <c r="C41" s="12">
        <v>16</v>
      </c>
      <c r="D41" s="8">
        <v>1.24</v>
      </c>
      <c r="E41" s="12">
        <v>3</v>
      </c>
      <c r="F41" s="8">
        <v>0.51</v>
      </c>
      <c r="G41" s="12">
        <v>13</v>
      </c>
      <c r="H41" s="8">
        <v>1.85</v>
      </c>
      <c r="I41" s="12">
        <v>0</v>
      </c>
    </row>
    <row r="42" spans="2:9" ht="15" customHeight="1" x14ac:dyDescent="0.2">
      <c r="B42" t="s">
        <v>119</v>
      </c>
      <c r="C42" s="12">
        <v>16</v>
      </c>
      <c r="D42" s="8">
        <v>1.24</v>
      </c>
      <c r="E42" s="12">
        <v>1</v>
      </c>
      <c r="F42" s="8">
        <v>0.17</v>
      </c>
      <c r="G42" s="12">
        <v>14</v>
      </c>
      <c r="H42" s="8">
        <v>1.99</v>
      </c>
      <c r="I42" s="12">
        <v>1</v>
      </c>
    </row>
    <row r="43" spans="2:9" ht="15" customHeight="1" x14ac:dyDescent="0.2">
      <c r="B43" t="s">
        <v>101</v>
      </c>
      <c r="C43" s="12">
        <v>15</v>
      </c>
      <c r="D43" s="8">
        <v>1.1599999999999999</v>
      </c>
      <c r="E43" s="12">
        <v>1</v>
      </c>
      <c r="F43" s="8">
        <v>0.17</v>
      </c>
      <c r="G43" s="12">
        <v>14</v>
      </c>
      <c r="H43" s="8">
        <v>1.99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173</v>
      </c>
      <c r="C47" s="12">
        <v>74</v>
      </c>
      <c r="D47" s="8">
        <v>5.72</v>
      </c>
      <c r="E47" s="12">
        <v>62</v>
      </c>
      <c r="F47" s="8">
        <v>10.63</v>
      </c>
      <c r="G47" s="12">
        <v>12</v>
      </c>
      <c r="H47" s="8">
        <v>1.71</v>
      </c>
      <c r="I47" s="12">
        <v>0</v>
      </c>
    </row>
    <row r="48" spans="2:9" ht="15" customHeight="1" x14ac:dyDescent="0.2">
      <c r="B48" t="s">
        <v>167</v>
      </c>
      <c r="C48" s="12">
        <v>51</v>
      </c>
      <c r="D48" s="8">
        <v>3.94</v>
      </c>
      <c r="E48" s="12">
        <v>16</v>
      </c>
      <c r="F48" s="8">
        <v>2.74</v>
      </c>
      <c r="G48" s="12">
        <v>35</v>
      </c>
      <c r="H48" s="8">
        <v>4.99</v>
      </c>
      <c r="I48" s="12">
        <v>0</v>
      </c>
    </row>
    <row r="49" spans="2:9" ht="15" customHeight="1" x14ac:dyDescent="0.2">
      <c r="B49" t="s">
        <v>172</v>
      </c>
      <c r="C49" s="12">
        <v>46</v>
      </c>
      <c r="D49" s="8">
        <v>3.56</v>
      </c>
      <c r="E49" s="12">
        <v>44</v>
      </c>
      <c r="F49" s="8">
        <v>7.55</v>
      </c>
      <c r="G49" s="12">
        <v>2</v>
      </c>
      <c r="H49" s="8">
        <v>0.28000000000000003</v>
      </c>
      <c r="I49" s="12">
        <v>0</v>
      </c>
    </row>
    <row r="50" spans="2:9" ht="15" customHeight="1" x14ac:dyDescent="0.2">
      <c r="B50" t="s">
        <v>174</v>
      </c>
      <c r="C50" s="12">
        <v>45</v>
      </c>
      <c r="D50" s="8">
        <v>3.48</v>
      </c>
      <c r="E50" s="12">
        <v>33</v>
      </c>
      <c r="F50" s="8">
        <v>5.66</v>
      </c>
      <c r="G50" s="12">
        <v>11</v>
      </c>
      <c r="H50" s="8">
        <v>1.57</v>
      </c>
      <c r="I50" s="12">
        <v>1</v>
      </c>
    </row>
    <row r="51" spans="2:9" ht="15" customHeight="1" x14ac:dyDescent="0.2">
      <c r="B51" t="s">
        <v>166</v>
      </c>
      <c r="C51" s="12">
        <v>34</v>
      </c>
      <c r="D51" s="8">
        <v>2.63</v>
      </c>
      <c r="E51" s="12">
        <v>9</v>
      </c>
      <c r="F51" s="8">
        <v>1.54</v>
      </c>
      <c r="G51" s="12">
        <v>25</v>
      </c>
      <c r="H51" s="8">
        <v>3.56</v>
      </c>
      <c r="I51" s="12">
        <v>0</v>
      </c>
    </row>
    <row r="52" spans="2:9" ht="15" customHeight="1" x14ac:dyDescent="0.2">
      <c r="B52" t="s">
        <v>170</v>
      </c>
      <c r="C52" s="12">
        <v>34</v>
      </c>
      <c r="D52" s="8">
        <v>2.63</v>
      </c>
      <c r="E52" s="12">
        <v>30</v>
      </c>
      <c r="F52" s="8">
        <v>5.15</v>
      </c>
      <c r="G52" s="12">
        <v>4</v>
      </c>
      <c r="H52" s="8">
        <v>0.56999999999999995</v>
      </c>
      <c r="I52" s="12">
        <v>0</v>
      </c>
    </row>
    <row r="53" spans="2:9" ht="15" customHeight="1" x14ac:dyDescent="0.2">
      <c r="B53" t="s">
        <v>175</v>
      </c>
      <c r="C53" s="12">
        <v>33</v>
      </c>
      <c r="D53" s="8">
        <v>2.5499999999999998</v>
      </c>
      <c r="E53" s="12">
        <v>30</v>
      </c>
      <c r="F53" s="8">
        <v>5.15</v>
      </c>
      <c r="G53" s="12">
        <v>3</v>
      </c>
      <c r="H53" s="8">
        <v>0.43</v>
      </c>
      <c r="I53" s="12">
        <v>0</v>
      </c>
    </row>
    <row r="54" spans="2:9" ht="15" customHeight="1" x14ac:dyDescent="0.2">
      <c r="B54" t="s">
        <v>163</v>
      </c>
      <c r="C54" s="12">
        <v>32</v>
      </c>
      <c r="D54" s="8">
        <v>2.4700000000000002</v>
      </c>
      <c r="E54" s="12">
        <v>10</v>
      </c>
      <c r="F54" s="8">
        <v>1.72</v>
      </c>
      <c r="G54" s="12">
        <v>22</v>
      </c>
      <c r="H54" s="8">
        <v>3.13</v>
      </c>
      <c r="I54" s="12">
        <v>0</v>
      </c>
    </row>
    <row r="55" spans="2:9" ht="15" customHeight="1" x14ac:dyDescent="0.2">
      <c r="B55" t="s">
        <v>169</v>
      </c>
      <c r="C55" s="12">
        <v>31</v>
      </c>
      <c r="D55" s="8">
        <v>2.4</v>
      </c>
      <c r="E55" s="12">
        <v>25</v>
      </c>
      <c r="F55" s="8">
        <v>4.29</v>
      </c>
      <c r="G55" s="12">
        <v>6</v>
      </c>
      <c r="H55" s="8">
        <v>0.85</v>
      </c>
      <c r="I55" s="12">
        <v>0</v>
      </c>
    </row>
    <row r="56" spans="2:9" ht="15" customHeight="1" x14ac:dyDescent="0.2">
      <c r="B56" t="s">
        <v>209</v>
      </c>
      <c r="C56" s="12">
        <v>28</v>
      </c>
      <c r="D56" s="8">
        <v>2.17</v>
      </c>
      <c r="E56" s="12">
        <v>24</v>
      </c>
      <c r="F56" s="8">
        <v>4.12</v>
      </c>
      <c r="G56" s="12">
        <v>4</v>
      </c>
      <c r="H56" s="8">
        <v>0.56999999999999995</v>
      </c>
      <c r="I56" s="12">
        <v>0</v>
      </c>
    </row>
    <row r="57" spans="2:9" ht="15" customHeight="1" x14ac:dyDescent="0.2">
      <c r="B57" t="s">
        <v>161</v>
      </c>
      <c r="C57" s="12">
        <v>26</v>
      </c>
      <c r="D57" s="8">
        <v>2.0099999999999998</v>
      </c>
      <c r="E57" s="12">
        <v>6</v>
      </c>
      <c r="F57" s="8">
        <v>1.03</v>
      </c>
      <c r="G57" s="12">
        <v>20</v>
      </c>
      <c r="H57" s="8">
        <v>2.85</v>
      </c>
      <c r="I57" s="12">
        <v>0</v>
      </c>
    </row>
    <row r="58" spans="2:9" ht="15" customHeight="1" x14ac:dyDescent="0.2">
      <c r="B58" t="s">
        <v>164</v>
      </c>
      <c r="C58" s="12">
        <v>25</v>
      </c>
      <c r="D58" s="8">
        <v>1.93</v>
      </c>
      <c r="E58" s="12">
        <v>10</v>
      </c>
      <c r="F58" s="8">
        <v>1.72</v>
      </c>
      <c r="G58" s="12">
        <v>15</v>
      </c>
      <c r="H58" s="8">
        <v>2.14</v>
      </c>
      <c r="I58" s="12">
        <v>0</v>
      </c>
    </row>
    <row r="59" spans="2:9" ht="15" customHeight="1" x14ac:dyDescent="0.2">
      <c r="B59" t="s">
        <v>160</v>
      </c>
      <c r="C59" s="12">
        <v>24</v>
      </c>
      <c r="D59" s="8">
        <v>1.86</v>
      </c>
      <c r="E59" s="12">
        <v>8</v>
      </c>
      <c r="F59" s="8">
        <v>1.37</v>
      </c>
      <c r="G59" s="12">
        <v>16</v>
      </c>
      <c r="H59" s="8">
        <v>2.2799999999999998</v>
      </c>
      <c r="I59" s="12">
        <v>0</v>
      </c>
    </row>
    <row r="60" spans="2:9" ht="15" customHeight="1" x14ac:dyDescent="0.2">
      <c r="B60" t="s">
        <v>179</v>
      </c>
      <c r="C60" s="12">
        <v>24</v>
      </c>
      <c r="D60" s="8">
        <v>1.86</v>
      </c>
      <c r="E60" s="12">
        <v>12</v>
      </c>
      <c r="F60" s="8">
        <v>2.06</v>
      </c>
      <c r="G60" s="12">
        <v>12</v>
      </c>
      <c r="H60" s="8">
        <v>1.71</v>
      </c>
      <c r="I60" s="12">
        <v>0</v>
      </c>
    </row>
    <row r="61" spans="2:9" ht="15" customHeight="1" x14ac:dyDescent="0.2">
      <c r="B61" t="s">
        <v>165</v>
      </c>
      <c r="C61" s="12">
        <v>23</v>
      </c>
      <c r="D61" s="8">
        <v>1.78</v>
      </c>
      <c r="E61" s="12">
        <v>5</v>
      </c>
      <c r="F61" s="8">
        <v>0.86</v>
      </c>
      <c r="G61" s="12">
        <v>18</v>
      </c>
      <c r="H61" s="8">
        <v>2.56</v>
      </c>
      <c r="I61" s="12">
        <v>0</v>
      </c>
    </row>
    <row r="62" spans="2:9" ht="15" customHeight="1" x14ac:dyDescent="0.2">
      <c r="B62" t="s">
        <v>178</v>
      </c>
      <c r="C62" s="12">
        <v>23</v>
      </c>
      <c r="D62" s="8">
        <v>1.78</v>
      </c>
      <c r="E62" s="12">
        <v>7</v>
      </c>
      <c r="F62" s="8">
        <v>1.2</v>
      </c>
      <c r="G62" s="12">
        <v>14</v>
      </c>
      <c r="H62" s="8">
        <v>1.99</v>
      </c>
      <c r="I62" s="12">
        <v>0</v>
      </c>
    </row>
    <row r="63" spans="2:9" ht="15" customHeight="1" x14ac:dyDescent="0.2">
      <c r="B63" t="s">
        <v>162</v>
      </c>
      <c r="C63" s="12">
        <v>22</v>
      </c>
      <c r="D63" s="8">
        <v>1.7</v>
      </c>
      <c r="E63" s="12">
        <v>12</v>
      </c>
      <c r="F63" s="8">
        <v>2.06</v>
      </c>
      <c r="G63" s="12">
        <v>10</v>
      </c>
      <c r="H63" s="8">
        <v>1.42</v>
      </c>
      <c r="I63" s="12">
        <v>0</v>
      </c>
    </row>
    <row r="64" spans="2:9" ht="15" customHeight="1" x14ac:dyDescent="0.2">
      <c r="B64" t="s">
        <v>168</v>
      </c>
      <c r="C64" s="12">
        <v>22</v>
      </c>
      <c r="D64" s="8">
        <v>1.7</v>
      </c>
      <c r="E64" s="12">
        <v>0</v>
      </c>
      <c r="F64" s="8">
        <v>0</v>
      </c>
      <c r="G64" s="12">
        <v>22</v>
      </c>
      <c r="H64" s="8">
        <v>3.13</v>
      </c>
      <c r="I64" s="12">
        <v>0</v>
      </c>
    </row>
    <row r="65" spans="2:9" ht="15" customHeight="1" x14ac:dyDescent="0.2">
      <c r="B65" t="s">
        <v>171</v>
      </c>
      <c r="C65" s="12">
        <v>22</v>
      </c>
      <c r="D65" s="8">
        <v>1.7</v>
      </c>
      <c r="E65" s="12">
        <v>13</v>
      </c>
      <c r="F65" s="8">
        <v>2.23</v>
      </c>
      <c r="G65" s="12">
        <v>9</v>
      </c>
      <c r="H65" s="8">
        <v>1.28</v>
      </c>
      <c r="I65" s="12">
        <v>0</v>
      </c>
    </row>
    <row r="66" spans="2:9" ht="15" customHeight="1" x14ac:dyDescent="0.2">
      <c r="B66" t="s">
        <v>159</v>
      </c>
      <c r="C66" s="12">
        <v>20</v>
      </c>
      <c r="D66" s="8">
        <v>1.55</v>
      </c>
      <c r="E66" s="12">
        <v>8</v>
      </c>
      <c r="F66" s="8">
        <v>1.37</v>
      </c>
      <c r="G66" s="12">
        <v>12</v>
      </c>
      <c r="H66" s="8">
        <v>1.71</v>
      </c>
      <c r="I66" s="12">
        <v>0</v>
      </c>
    </row>
    <row r="68" spans="2:9" ht="15" customHeight="1" x14ac:dyDescent="0.2">
      <c r="B68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AE9F4-50E8-4000-A303-2B634F75286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310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417</v>
      </c>
      <c r="D6" s="8">
        <v>16.190000000000001</v>
      </c>
      <c r="E6" s="12">
        <v>116</v>
      </c>
      <c r="F6" s="8">
        <v>9.27</v>
      </c>
      <c r="G6" s="12">
        <v>301</v>
      </c>
      <c r="H6" s="8">
        <v>23.03</v>
      </c>
      <c r="I6" s="12">
        <v>0</v>
      </c>
    </row>
    <row r="7" spans="2:9" ht="15" customHeight="1" x14ac:dyDescent="0.2">
      <c r="B7" t="s">
        <v>76</v>
      </c>
      <c r="C7" s="12">
        <v>211</v>
      </c>
      <c r="D7" s="8">
        <v>8.19</v>
      </c>
      <c r="E7" s="12">
        <v>62</v>
      </c>
      <c r="F7" s="8">
        <v>4.95</v>
      </c>
      <c r="G7" s="12">
        <v>149</v>
      </c>
      <c r="H7" s="8">
        <v>11.4</v>
      </c>
      <c r="I7" s="12">
        <v>0</v>
      </c>
    </row>
    <row r="8" spans="2:9" ht="15" customHeight="1" x14ac:dyDescent="0.2">
      <c r="B8" t="s">
        <v>77</v>
      </c>
      <c r="C8" s="12">
        <v>3</v>
      </c>
      <c r="D8" s="8">
        <v>0.12</v>
      </c>
      <c r="E8" s="12">
        <v>0</v>
      </c>
      <c r="F8" s="8">
        <v>0</v>
      </c>
      <c r="G8" s="12">
        <v>3</v>
      </c>
      <c r="H8" s="8">
        <v>0.23</v>
      </c>
      <c r="I8" s="12">
        <v>0</v>
      </c>
    </row>
    <row r="9" spans="2:9" ht="15" customHeight="1" x14ac:dyDescent="0.2">
      <c r="B9" t="s">
        <v>78</v>
      </c>
      <c r="C9" s="12">
        <v>17</v>
      </c>
      <c r="D9" s="8">
        <v>0.66</v>
      </c>
      <c r="E9" s="12">
        <v>0</v>
      </c>
      <c r="F9" s="8">
        <v>0</v>
      </c>
      <c r="G9" s="12">
        <v>17</v>
      </c>
      <c r="H9" s="8">
        <v>1.3</v>
      </c>
      <c r="I9" s="12">
        <v>0</v>
      </c>
    </row>
    <row r="10" spans="2:9" ht="15" customHeight="1" x14ac:dyDescent="0.2">
      <c r="B10" t="s">
        <v>79</v>
      </c>
      <c r="C10" s="12">
        <v>28</v>
      </c>
      <c r="D10" s="8">
        <v>1.0900000000000001</v>
      </c>
      <c r="E10" s="12">
        <v>3</v>
      </c>
      <c r="F10" s="8">
        <v>0.24</v>
      </c>
      <c r="G10" s="12">
        <v>25</v>
      </c>
      <c r="H10" s="8">
        <v>1.91</v>
      </c>
      <c r="I10" s="12">
        <v>0</v>
      </c>
    </row>
    <row r="11" spans="2:9" ht="15" customHeight="1" x14ac:dyDescent="0.2">
      <c r="B11" t="s">
        <v>80</v>
      </c>
      <c r="C11" s="12">
        <v>605</v>
      </c>
      <c r="D11" s="8">
        <v>23.49</v>
      </c>
      <c r="E11" s="12">
        <v>246</v>
      </c>
      <c r="F11" s="8">
        <v>19.649999999999999</v>
      </c>
      <c r="G11" s="12">
        <v>359</v>
      </c>
      <c r="H11" s="8">
        <v>27.47</v>
      </c>
      <c r="I11" s="12">
        <v>0</v>
      </c>
    </row>
    <row r="12" spans="2:9" ht="15" customHeight="1" x14ac:dyDescent="0.2">
      <c r="B12" t="s">
        <v>81</v>
      </c>
      <c r="C12" s="12">
        <v>13</v>
      </c>
      <c r="D12" s="8">
        <v>0.5</v>
      </c>
      <c r="E12" s="12">
        <v>3</v>
      </c>
      <c r="F12" s="8">
        <v>0.24</v>
      </c>
      <c r="G12" s="12">
        <v>10</v>
      </c>
      <c r="H12" s="8">
        <v>0.77</v>
      </c>
      <c r="I12" s="12">
        <v>0</v>
      </c>
    </row>
    <row r="13" spans="2:9" ht="15" customHeight="1" x14ac:dyDescent="0.2">
      <c r="B13" t="s">
        <v>82</v>
      </c>
      <c r="C13" s="12">
        <v>246</v>
      </c>
      <c r="D13" s="8">
        <v>9.5500000000000007</v>
      </c>
      <c r="E13" s="12">
        <v>102</v>
      </c>
      <c r="F13" s="8">
        <v>8.15</v>
      </c>
      <c r="G13" s="12">
        <v>144</v>
      </c>
      <c r="H13" s="8">
        <v>11.02</v>
      </c>
      <c r="I13" s="12">
        <v>0</v>
      </c>
    </row>
    <row r="14" spans="2:9" ht="15" customHeight="1" x14ac:dyDescent="0.2">
      <c r="B14" t="s">
        <v>83</v>
      </c>
      <c r="C14" s="12">
        <v>111</v>
      </c>
      <c r="D14" s="8">
        <v>4.3099999999999996</v>
      </c>
      <c r="E14" s="12">
        <v>52</v>
      </c>
      <c r="F14" s="8">
        <v>4.1500000000000004</v>
      </c>
      <c r="G14" s="12">
        <v>59</v>
      </c>
      <c r="H14" s="8">
        <v>4.51</v>
      </c>
      <c r="I14" s="12">
        <v>0</v>
      </c>
    </row>
    <row r="15" spans="2:9" ht="15" customHeight="1" x14ac:dyDescent="0.2">
      <c r="B15" t="s">
        <v>84</v>
      </c>
      <c r="C15" s="12">
        <v>190</v>
      </c>
      <c r="D15" s="8">
        <v>7.38</v>
      </c>
      <c r="E15" s="12">
        <v>153</v>
      </c>
      <c r="F15" s="8">
        <v>12.22</v>
      </c>
      <c r="G15" s="12">
        <v>36</v>
      </c>
      <c r="H15" s="8">
        <v>2.75</v>
      </c>
      <c r="I15" s="12">
        <v>0</v>
      </c>
    </row>
    <row r="16" spans="2:9" ht="15" customHeight="1" x14ac:dyDescent="0.2">
      <c r="B16" t="s">
        <v>85</v>
      </c>
      <c r="C16" s="12">
        <v>377</v>
      </c>
      <c r="D16" s="8">
        <v>14.64</v>
      </c>
      <c r="E16" s="12">
        <v>293</v>
      </c>
      <c r="F16" s="8">
        <v>23.4</v>
      </c>
      <c r="G16" s="12">
        <v>84</v>
      </c>
      <c r="H16" s="8">
        <v>6.43</v>
      </c>
      <c r="I16" s="12">
        <v>0</v>
      </c>
    </row>
    <row r="17" spans="2:9" ht="15" customHeight="1" x14ac:dyDescent="0.2">
      <c r="B17" t="s">
        <v>86</v>
      </c>
      <c r="C17" s="12">
        <v>104</v>
      </c>
      <c r="D17" s="8">
        <v>4.04</v>
      </c>
      <c r="E17" s="12">
        <v>76</v>
      </c>
      <c r="F17" s="8">
        <v>6.07</v>
      </c>
      <c r="G17" s="12">
        <v>22</v>
      </c>
      <c r="H17" s="8">
        <v>1.68</v>
      </c>
      <c r="I17" s="12">
        <v>0</v>
      </c>
    </row>
    <row r="18" spans="2:9" ht="15" customHeight="1" x14ac:dyDescent="0.2">
      <c r="B18" t="s">
        <v>87</v>
      </c>
      <c r="C18" s="12">
        <v>153</v>
      </c>
      <c r="D18" s="8">
        <v>5.94</v>
      </c>
      <c r="E18" s="12">
        <v>97</v>
      </c>
      <c r="F18" s="8">
        <v>7.75</v>
      </c>
      <c r="G18" s="12">
        <v>51</v>
      </c>
      <c r="H18" s="8">
        <v>3.9</v>
      </c>
      <c r="I18" s="12">
        <v>0</v>
      </c>
    </row>
    <row r="19" spans="2:9" ht="15" customHeight="1" x14ac:dyDescent="0.2">
      <c r="B19" t="s">
        <v>88</v>
      </c>
      <c r="C19" s="12">
        <v>101</v>
      </c>
      <c r="D19" s="8">
        <v>3.92</v>
      </c>
      <c r="E19" s="12">
        <v>49</v>
      </c>
      <c r="F19" s="8">
        <v>3.91</v>
      </c>
      <c r="G19" s="12">
        <v>47</v>
      </c>
      <c r="H19" s="8">
        <v>3.6</v>
      </c>
      <c r="I19" s="12">
        <v>0</v>
      </c>
    </row>
    <row r="20" spans="2:9" ht="15" customHeight="1" x14ac:dyDescent="0.2">
      <c r="B20" s="9" t="s">
        <v>269</v>
      </c>
      <c r="C20" s="12">
        <f>SUM(LTBL_11232[総数／事業所数])</f>
        <v>2576</v>
      </c>
      <c r="E20" s="12">
        <f>SUBTOTAL(109,LTBL_11232[個人／事業所数])</f>
        <v>1252</v>
      </c>
      <c r="G20" s="12">
        <f>SUBTOTAL(109,LTBL_11232[法人／事業所数])</f>
        <v>1307</v>
      </c>
      <c r="I20" s="12">
        <f>SUBTOTAL(109,LTBL_11232[法人以外の団体／事業所数])</f>
        <v>0</v>
      </c>
    </row>
    <row r="21" spans="2:9" ht="15" customHeight="1" x14ac:dyDescent="0.2">
      <c r="E21" s="11">
        <f>LTBL_11232[[#Totals],[個人／事業所数]]/LTBL_11232[[#Totals],[総数／事業所数]]</f>
        <v>0.4860248447204969</v>
      </c>
      <c r="G21" s="11">
        <f>LTBL_11232[[#Totals],[法人／事業所数]]/LTBL_11232[[#Totals],[総数／事業所数]]</f>
        <v>0.50737577639751552</v>
      </c>
      <c r="I21" s="11">
        <f>LTBL_11232[[#Totals],[法人以外の団体／事業所数]]/LTBL_11232[[#Totals],[総数／事業所数]]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314</v>
      </c>
      <c r="D24" s="8">
        <v>12.19</v>
      </c>
      <c r="E24" s="12">
        <v>262</v>
      </c>
      <c r="F24" s="8">
        <v>20.93</v>
      </c>
      <c r="G24" s="12">
        <v>52</v>
      </c>
      <c r="H24" s="8">
        <v>3.98</v>
      </c>
      <c r="I24" s="12">
        <v>0</v>
      </c>
    </row>
    <row r="25" spans="2:9" ht="15" customHeight="1" x14ac:dyDescent="0.2">
      <c r="B25" t="s">
        <v>108</v>
      </c>
      <c r="C25" s="12">
        <v>194</v>
      </c>
      <c r="D25" s="8">
        <v>7.53</v>
      </c>
      <c r="E25" s="12">
        <v>100</v>
      </c>
      <c r="F25" s="8">
        <v>7.99</v>
      </c>
      <c r="G25" s="12">
        <v>94</v>
      </c>
      <c r="H25" s="8">
        <v>7.19</v>
      </c>
      <c r="I25" s="12">
        <v>0</v>
      </c>
    </row>
    <row r="26" spans="2:9" ht="15" customHeight="1" x14ac:dyDescent="0.2">
      <c r="B26" t="s">
        <v>97</v>
      </c>
      <c r="C26" s="12">
        <v>190</v>
      </c>
      <c r="D26" s="8">
        <v>7.38</v>
      </c>
      <c r="E26" s="12">
        <v>42</v>
      </c>
      <c r="F26" s="8">
        <v>3.35</v>
      </c>
      <c r="G26" s="12">
        <v>148</v>
      </c>
      <c r="H26" s="8">
        <v>11.32</v>
      </c>
      <c r="I26" s="12">
        <v>0</v>
      </c>
    </row>
    <row r="27" spans="2:9" ht="15" customHeight="1" x14ac:dyDescent="0.2">
      <c r="B27" t="s">
        <v>111</v>
      </c>
      <c r="C27" s="12">
        <v>173</v>
      </c>
      <c r="D27" s="8">
        <v>6.72</v>
      </c>
      <c r="E27" s="12">
        <v>150</v>
      </c>
      <c r="F27" s="8">
        <v>11.98</v>
      </c>
      <c r="G27" s="12">
        <v>23</v>
      </c>
      <c r="H27" s="8">
        <v>1.76</v>
      </c>
      <c r="I27" s="12">
        <v>0</v>
      </c>
    </row>
    <row r="28" spans="2:9" ht="15" customHeight="1" x14ac:dyDescent="0.2">
      <c r="B28" t="s">
        <v>106</v>
      </c>
      <c r="C28" s="12">
        <v>162</v>
      </c>
      <c r="D28" s="8">
        <v>6.29</v>
      </c>
      <c r="E28" s="12">
        <v>80</v>
      </c>
      <c r="F28" s="8">
        <v>6.39</v>
      </c>
      <c r="G28" s="12">
        <v>82</v>
      </c>
      <c r="H28" s="8">
        <v>6.27</v>
      </c>
      <c r="I28" s="12">
        <v>0</v>
      </c>
    </row>
    <row r="29" spans="2:9" ht="15" customHeight="1" x14ac:dyDescent="0.2">
      <c r="B29" t="s">
        <v>98</v>
      </c>
      <c r="C29" s="12">
        <v>130</v>
      </c>
      <c r="D29" s="8">
        <v>5.05</v>
      </c>
      <c r="E29" s="12">
        <v>57</v>
      </c>
      <c r="F29" s="8">
        <v>4.55</v>
      </c>
      <c r="G29" s="12">
        <v>73</v>
      </c>
      <c r="H29" s="8">
        <v>5.59</v>
      </c>
      <c r="I29" s="12">
        <v>0</v>
      </c>
    </row>
    <row r="30" spans="2:9" ht="15" customHeight="1" x14ac:dyDescent="0.2">
      <c r="B30" t="s">
        <v>104</v>
      </c>
      <c r="C30" s="12">
        <v>122</v>
      </c>
      <c r="D30" s="8">
        <v>4.74</v>
      </c>
      <c r="E30" s="12">
        <v>80</v>
      </c>
      <c r="F30" s="8">
        <v>6.39</v>
      </c>
      <c r="G30" s="12">
        <v>42</v>
      </c>
      <c r="H30" s="8">
        <v>3.21</v>
      </c>
      <c r="I30" s="12">
        <v>0</v>
      </c>
    </row>
    <row r="31" spans="2:9" ht="15" customHeight="1" x14ac:dyDescent="0.2">
      <c r="B31" t="s">
        <v>115</v>
      </c>
      <c r="C31" s="12">
        <v>111</v>
      </c>
      <c r="D31" s="8">
        <v>4.3099999999999996</v>
      </c>
      <c r="E31" s="12">
        <v>97</v>
      </c>
      <c r="F31" s="8">
        <v>7.75</v>
      </c>
      <c r="G31" s="12">
        <v>14</v>
      </c>
      <c r="H31" s="8">
        <v>1.07</v>
      </c>
      <c r="I31" s="12">
        <v>0</v>
      </c>
    </row>
    <row r="32" spans="2:9" ht="15" customHeight="1" x14ac:dyDescent="0.2">
      <c r="B32" t="s">
        <v>114</v>
      </c>
      <c r="C32" s="12">
        <v>104</v>
      </c>
      <c r="D32" s="8">
        <v>4.04</v>
      </c>
      <c r="E32" s="12">
        <v>76</v>
      </c>
      <c r="F32" s="8">
        <v>6.07</v>
      </c>
      <c r="G32" s="12">
        <v>22</v>
      </c>
      <c r="H32" s="8">
        <v>1.68</v>
      </c>
      <c r="I32" s="12">
        <v>0</v>
      </c>
    </row>
    <row r="33" spans="2:9" ht="15" customHeight="1" x14ac:dyDescent="0.2">
      <c r="B33" t="s">
        <v>99</v>
      </c>
      <c r="C33" s="12">
        <v>97</v>
      </c>
      <c r="D33" s="8">
        <v>3.77</v>
      </c>
      <c r="E33" s="12">
        <v>17</v>
      </c>
      <c r="F33" s="8">
        <v>1.36</v>
      </c>
      <c r="G33" s="12">
        <v>80</v>
      </c>
      <c r="H33" s="8">
        <v>6.12</v>
      </c>
      <c r="I33" s="12">
        <v>0</v>
      </c>
    </row>
    <row r="34" spans="2:9" ht="15" customHeight="1" x14ac:dyDescent="0.2">
      <c r="B34" t="s">
        <v>103</v>
      </c>
      <c r="C34" s="12">
        <v>92</v>
      </c>
      <c r="D34" s="8">
        <v>3.57</v>
      </c>
      <c r="E34" s="12">
        <v>32</v>
      </c>
      <c r="F34" s="8">
        <v>2.56</v>
      </c>
      <c r="G34" s="12">
        <v>60</v>
      </c>
      <c r="H34" s="8">
        <v>4.59</v>
      </c>
      <c r="I34" s="12">
        <v>0</v>
      </c>
    </row>
    <row r="35" spans="2:9" ht="15" customHeight="1" x14ac:dyDescent="0.2">
      <c r="B35" t="s">
        <v>105</v>
      </c>
      <c r="C35" s="12">
        <v>69</v>
      </c>
      <c r="D35" s="8">
        <v>2.68</v>
      </c>
      <c r="E35" s="12">
        <v>31</v>
      </c>
      <c r="F35" s="8">
        <v>2.48</v>
      </c>
      <c r="G35" s="12">
        <v>38</v>
      </c>
      <c r="H35" s="8">
        <v>2.91</v>
      </c>
      <c r="I35" s="12">
        <v>0</v>
      </c>
    </row>
    <row r="36" spans="2:9" ht="15" customHeight="1" x14ac:dyDescent="0.2">
      <c r="B36" t="s">
        <v>110</v>
      </c>
      <c r="C36" s="12">
        <v>54</v>
      </c>
      <c r="D36" s="8">
        <v>2.1</v>
      </c>
      <c r="E36" s="12">
        <v>16</v>
      </c>
      <c r="F36" s="8">
        <v>1.28</v>
      </c>
      <c r="G36" s="12">
        <v>38</v>
      </c>
      <c r="H36" s="8">
        <v>2.91</v>
      </c>
      <c r="I36" s="12">
        <v>0</v>
      </c>
    </row>
    <row r="37" spans="2:9" ht="15" customHeight="1" x14ac:dyDescent="0.2">
      <c r="B37" t="s">
        <v>109</v>
      </c>
      <c r="C37" s="12">
        <v>53</v>
      </c>
      <c r="D37" s="8">
        <v>2.06</v>
      </c>
      <c r="E37" s="12">
        <v>35</v>
      </c>
      <c r="F37" s="8">
        <v>2.8</v>
      </c>
      <c r="G37" s="12">
        <v>18</v>
      </c>
      <c r="H37" s="8">
        <v>1.38</v>
      </c>
      <c r="I37" s="12">
        <v>0</v>
      </c>
    </row>
    <row r="38" spans="2:9" ht="15" customHeight="1" x14ac:dyDescent="0.2">
      <c r="B38" t="s">
        <v>113</v>
      </c>
      <c r="C38" s="12">
        <v>53</v>
      </c>
      <c r="D38" s="8">
        <v>2.06</v>
      </c>
      <c r="E38" s="12">
        <v>30</v>
      </c>
      <c r="F38" s="8">
        <v>2.4</v>
      </c>
      <c r="G38" s="12">
        <v>23</v>
      </c>
      <c r="H38" s="8">
        <v>1.76</v>
      </c>
      <c r="I38" s="12">
        <v>0</v>
      </c>
    </row>
    <row r="39" spans="2:9" ht="15" customHeight="1" x14ac:dyDescent="0.2">
      <c r="B39" t="s">
        <v>116</v>
      </c>
      <c r="C39" s="12">
        <v>52</v>
      </c>
      <c r="D39" s="8">
        <v>2.02</v>
      </c>
      <c r="E39" s="12">
        <v>43</v>
      </c>
      <c r="F39" s="8">
        <v>3.43</v>
      </c>
      <c r="G39" s="12">
        <v>9</v>
      </c>
      <c r="H39" s="8">
        <v>0.69</v>
      </c>
      <c r="I39" s="12">
        <v>0</v>
      </c>
    </row>
    <row r="40" spans="2:9" ht="15" customHeight="1" x14ac:dyDescent="0.2">
      <c r="B40" t="s">
        <v>101</v>
      </c>
      <c r="C40" s="12">
        <v>45</v>
      </c>
      <c r="D40" s="8">
        <v>1.75</v>
      </c>
      <c r="E40" s="12">
        <v>10</v>
      </c>
      <c r="F40" s="8">
        <v>0.8</v>
      </c>
      <c r="G40" s="12">
        <v>35</v>
      </c>
      <c r="H40" s="8">
        <v>2.68</v>
      </c>
      <c r="I40" s="12">
        <v>0</v>
      </c>
    </row>
    <row r="41" spans="2:9" ht="15" customHeight="1" x14ac:dyDescent="0.2">
      <c r="B41" t="s">
        <v>118</v>
      </c>
      <c r="C41" s="12">
        <v>42</v>
      </c>
      <c r="D41" s="8">
        <v>1.63</v>
      </c>
      <c r="E41" s="12">
        <v>0</v>
      </c>
      <c r="F41" s="8">
        <v>0</v>
      </c>
      <c r="G41" s="12">
        <v>37</v>
      </c>
      <c r="H41" s="8">
        <v>2.83</v>
      </c>
      <c r="I41" s="12">
        <v>0</v>
      </c>
    </row>
    <row r="42" spans="2:9" ht="15" customHeight="1" x14ac:dyDescent="0.2">
      <c r="B42" t="s">
        <v>102</v>
      </c>
      <c r="C42" s="12">
        <v>41</v>
      </c>
      <c r="D42" s="8">
        <v>1.59</v>
      </c>
      <c r="E42" s="12">
        <v>3</v>
      </c>
      <c r="F42" s="8">
        <v>0.24</v>
      </c>
      <c r="G42" s="12">
        <v>38</v>
      </c>
      <c r="H42" s="8">
        <v>2.91</v>
      </c>
      <c r="I42" s="12">
        <v>0</v>
      </c>
    </row>
    <row r="43" spans="2:9" ht="15" customHeight="1" x14ac:dyDescent="0.2">
      <c r="B43" t="s">
        <v>107</v>
      </c>
      <c r="C43" s="12">
        <v>41</v>
      </c>
      <c r="D43" s="8">
        <v>1.59</v>
      </c>
      <c r="E43" s="12">
        <v>1</v>
      </c>
      <c r="F43" s="8">
        <v>0.08</v>
      </c>
      <c r="G43" s="12">
        <v>40</v>
      </c>
      <c r="H43" s="8">
        <v>3.06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173</v>
      </c>
      <c r="C47" s="12">
        <v>168</v>
      </c>
      <c r="D47" s="8">
        <v>6.52</v>
      </c>
      <c r="E47" s="12">
        <v>145</v>
      </c>
      <c r="F47" s="8">
        <v>11.58</v>
      </c>
      <c r="G47" s="12">
        <v>23</v>
      </c>
      <c r="H47" s="8">
        <v>1.76</v>
      </c>
      <c r="I47" s="12">
        <v>0</v>
      </c>
    </row>
    <row r="48" spans="2:9" ht="15" customHeight="1" x14ac:dyDescent="0.2">
      <c r="B48" t="s">
        <v>172</v>
      </c>
      <c r="C48" s="12">
        <v>89</v>
      </c>
      <c r="D48" s="8">
        <v>3.45</v>
      </c>
      <c r="E48" s="12">
        <v>79</v>
      </c>
      <c r="F48" s="8">
        <v>6.31</v>
      </c>
      <c r="G48" s="12">
        <v>10</v>
      </c>
      <c r="H48" s="8">
        <v>0.77</v>
      </c>
      <c r="I48" s="12">
        <v>0</v>
      </c>
    </row>
    <row r="49" spans="2:9" ht="15" customHeight="1" x14ac:dyDescent="0.2">
      <c r="B49" t="s">
        <v>167</v>
      </c>
      <c r="C49" s="12">
        <v>79</v>
      </c>
      <c r="D49" s="8">
        <v>3.07</v>
      </c>
      <c r="E49" s="12">
        <v>48</v>
      </c>
      <c r="F49" s="8">
        <v>3.83</v>
      </c>
      <c r="G49" s="12">
        <v>31</v>
      </c>
      <c r="H49" s="8">
        <v>2.37</v>
      </c>
      <c r="I49" s="12">
        <v>0</v>
      </c>
    </row>
    <row r="50" spans="2:9" ht="15" customHeight="1" x14ac:dyDescent="0.2">
      <c r="B50" t="s">
        <v>175</v>
      </c>
      <c r="C50" s="12">
        <v>76</v>
      </c>
      <c r="D50" s="8">
        <v>2.95</v>
      </c>
      <c r="E50" s="12">
        <v>69</v>
      </c>
      <c r="F50" s="8">
        <v>5.51</v>
      </c>
      <c r="G50" s="12">
        <v>7</v>
      </c>
      <c r="H50" s="8">
        <v>0.54</v>
      </c>
      <c r="I50" s="12">
        <v>0</v>
      </c>
    </row>
    <row r="51" spans="2:9" ht="15" customHeight="1" x14ac:dyDescent="0.2">
      <c r="B51" t="s">
        <v>174</v>
      </c>
      <c r="C51" s="12">
        <v>70</v>
      </c>
      <c r="D51" s="8">
        <v>2.72</v>
      </c>
      <c r="E51" s="12">
        <v>56</v>
      </c>
      <c r="F51" s="8">
        <v>4.47</v>
      </c>
      <c r="G51" s="12">
        <v>14</v>
      </c>
      <c r="H51" s="8">
        <v>1.07</v>
      </c>
      <c r="I51" s="12">
        <v>0</v>
      </c>
    </row>
    <row r="52" spans="2:9" ht="15" customHeight="1" x14ac:dyDescent="0.2">
      <c r="B52" t="s">
        <v>159</v>
      </c>
      <c r="C52" s="12">
        <v>60</v>
      </c>
      <c r="D52" s="8">
        <v>2.33</v>
      </c>
      <c r="E52" s="12">
        <v>28</v>
      </c>
      <c r="F52" s="8">
        <v>2.2400000000000002</v>
      </c>
      <c r="G52" s="12">
        <v>32</v>
      </c>
      <c r="H52" s="8">
        <v>2.4500000000000002</v>
      </c>
      <c r="I52" s="12">
        <v>0</v>
      </c>
    </row>
    <row r="53" spans="2:9" ht="15" customHeight="1" x14ac:dyDescent="0.2">
      <c r="B53" t="s">
        <v>157</v>
      </c>
      <c r="C53" s="12">
        <v>56</v>
      </c>
      <c r="D53" s="8">
        <v>2.17</v>
      </c>
      <c r="E53" s="12">
        <v>4</v>
      </c>
      <c r="F53" s="8">
        <v>0.32</v>
      </c>
      <c r="G53" s="12">
        <v>52</v>
      </c>
      <c r="H53" s="8">
        <v>3.98</v>
      </c>
      <c r="I53" s="12">
        <v>0</v>
      </c>
    </row>
    <row r="54" spans="2:9" ht="15" customHeight="1" x14ac:dyDescent="0.2">
      <c r="B54" t="s">
        <v>189</v>
      </c>
      <c r="C54" s="12">
        <v>56</v>
      </c>
      <c r="D54" s="8">
        <v>2.17</v>
      </c>
      <c r="E54" s="12">
        <v>48</v>
      </c>
      <c r="F54" s="8">
        <v>3.83</v>
      </c>
      <c r="G54" s="12">
        <v>8</v>
      </c>
      <c r="H54" s="8">
        <v>0.61</v>
      </c>
      <c r="I54" s="12">
        <v>0</v>
      </c>
    </row>
    <row r="55" spans="2:9" ht="15" customHeight="1" x14ac:dyDescent="0.2">
      <c r="B55" t="s">
        <v>164</v>
      </c>
      <c r="C55" s="12">
        <v>55</v>
      </c>
      <c r="D55" s="8">
        <v>2.14</v>
      </c>
      <c r="E55" s="12">
        <v>30</v>
      </c>
      <c r="F55" s="8">
        <v>2.4</v>
      </c>
      <c r="G55" s="12">
        <v>25</v>
      </c>
      <c r="H55" s="8">
        <v>1.91</v>
      </c>
      <c r="I55" s="12">
        <v>0</v>
      </c>
    </row>
    <row r="56" spans="2:9" ht="15" customHeight="1" x14ac:dyDescent="0.2">
      <c r="B56" t="s">
        <v>169</v>
      </c>
      <c r="C56" s="12">
        <v>55</v>
      </c>
      <c r="D56" s="8">
        <v>2.14</v>
      </c>
      <c r="E56" s="12">
        <v>48</v>
      </c>
      <c r="F56" s="8">
        <v>3.83</v>
      </c>
      <c r="G56" s="12">
        <v>7</v>
      </c>
      <c r="H56" s="8">
        <v>0.54</v>
      </c>
      <c r="I56" s="12">
        <v>0</v>
      </c>
    </row>
    <row r="57" spans="2:9" ht="15" customHeight="1" x14ac:dyDescent="0.2">
      <c r="B57" t="s">
        <v>176</v>
      </c>
      <c r="C57" s="12">
        <v>52</v>
      </c>
      <c r="D57" s="8">
        <v>2.02</v>
      </c>
      <c r="E57" s="12">
        <v>43</v>
      </c>
      <c r="F57" s="8">
        <v>3.43</v>
      </c>
      <c r="G57" s="12">
        <v>9</v>
      </c>
      <c r="H57" s="8">
        <v>0.69</v>
      </c>
      <c r="I57" s="12">
        <v>0</v>
      </c>
    </row>
    <row r="58" spans="2:9" ht="15" customHeight="1" x14ac:dyDescent="0.2">
      <c r="B58" t="s">
        <v>188</v>
      </c>
      <c r="C58" s="12">
        <v>47</v>
      </c>
      <c r="D58" s="8">
        <v>1.82</v>
      </c>
      <c r="E58" s="12">
        <v>28</v>
      </c>
      <c r="F58" s="8">
        <v>2.2400000000000002</v>
      </c>
      <c r="G58" s="12">
        <v>19</v>
      </c>
      <c r="H58" s="8">
        <v>1.45</v>
      </c>
      <c r="I58" s="12">
        <v>0</v>
      </c>
    </row>
    <row r="59" spans="2:9" ht="15" customHeight="1" x14ac:dyDescent="0.2">
      <c r="B59" t="s">
        <v>186</v>
      </c>
      <c r="C59" s="12">
        <v>45</v>
      </c>
      <c r="D59" s="8">
        <v>1.75</v>
      </c>
      <c r="E59" s="12">
        <v>16</v>
      </c>
      <c r="F59" s="8">
        <v>1.28</v>
      </c>
      <c r="G59" s="12">
        <v>29</v>
      </c>
      <c r="H59" s="8">
        <v>2.2200000000000002</v>
      </c>
      <c r="I59" s="12">
        <v>0</v>
      </c>
    </row>
    <row r="60" spans="2:9" ht="15" customHeight="1" x14ac:dyDescent="0.2">
      <c r="B60" t="s">
        <v>185</v>
      </c>
      <c r="C60" s="12">
        <v>40</v>
      </c>
      <c r="D60" s="8">
        <v>1.55</v>
      </c>
      <c r="E60" s="12">
        <v>19</v>
      </c>
      <c r="F60" s="8">
        <v>1.52</v>
      </c>
      <c r="G60" s="12">
        <v>21</v>
      </c>
      <c r="H60" s="8">
        <v>1.61</v>
      </c>
      <c r="I60" s="12">
        <v>0</v>
      </c>
    </row>
    <row r="61" spans="2:9" ht="15" customHeight="1" x14ac:dyDescent="0.2">
      <c r="B61" t="s">
        <v>170</v>
      </c>
      <c r="C61" s="12">
        <v>40</v>
      </c>
      <c r="D61" s="8">
        <v>1.55</v>
      </c>
      <c r="E61" s="12">
        <v>35</v>
      </c>
      <c r="F61" s="8">
        <v>2.8</v>
      </c>
      <c r="G61" s="12">
        <v>5</v>
      </c>
      <c r="H61" s="8">
        <v>0.38</v>
      </c>
      <c r="I61" s="12">
        <v>0</v>
      </c>
    </row>
    <row r="62" spans="2:9" ht="15" customHeight="1" x14ac:dyDescent="0.2">
      <c r="B62" t="s">
        <v>161</v>
      </c>
      <c r="C62" s="12">
        <v>38</v>
      </c>
      <c r="D62" s="8">
        <v>1.48</v>
      </c>
      <c r="E62" s="12">
        <v>9</v>
      </c>
      <c r="F62" s="8">
        <v>0.72</v>
      </c>
      <c r="G62" s="12">
        <v>29</v>
      </c>
      <c r="H62" s="8">
        <v>2.2200000000000002</v>
      </c>
      <c r="I62" s="12">
        <v>0</v>
      </c>
    </row>
    <row r="63" spans="2:9" ht="15" customHeight="1" x14ac:dyDescent="0.2">
      <c r="B63" t="s">
        <v>166</v>
      </c>
      <c r="C63" s="12">
        <v>38</v>
      </c>
      <c r="D63" s="8">
        <v>1.48</v>
      </c>
      <c r="E63" s="12">
        <v>3</v>
      </c>
      <c r="F63" s="8">
        <v>0.24</v>
      </c>
      <c r="G63" s="12">
        <v>35</v>
      </c>
      <c r="H63" s="8">
        <v>2.68</v>
      </c>
      <c r="I63" s="12">
        <v>0</v>
      </c>
    </row>
    <row r="64" spans="2:9" ht="15" customHeight="1" x14ac:dyDescent="0.2">
      <c r="B64" t="s">
        <v>158</v>
      </c>
      <c r="C64" s="12">
        <v>37</v>
      </c>
      <c r="D64" s="8">
        <v>1.44</v>
      </c>
      <c r="E64" s="12">
        <v>4</v>
      </c>
      <c r="F64" s="8">
        <v>0.32</v>
      </c>
      <c r="G64" s="12">
        <v>33</v>
      </c>
      <c r="H64" s="8">
        <v>2.52</v>
      </c>
      <c r="I64" s="12">
        <v>0</v>
      </c>
    </row>
    <row r="65" spans="2:9" ht="15" customHeight="1" x14ac:dyDescent="0.2">
      <c r="B65" t="s">
        <v>178</v>
      </c>
      <c r="C65" s="12">
        <v>37</v>
      </c>
      <c r="D65" s="8">
        <v>1.44</v>
      </c>
      <c r="E65" s="12">
        <v>9</v>
      </c>
      <c r="F65" s="8">
        <v>0.72</v>
      </c>
      <c r="G65" s="12">
        <v>28</v>
      </c>
      <c r="H65" s="8">
        <v>2.14</v>
      </c>
      <c r="I65" s="12">
        <v>0</v>
      </c>
    </row>
    <row r="66" spans="2:9" ht="15" customHeight="1" x14ac:dyDescent="0.2">
      <c r="B66" t="s">
        <v>160</v>
      </c>
      <c r="C66" s="12">
        <v>36</v>
      </c>
      <c r="D66" s="8">
        <v>1.4</v>
      </c>
      <c r="E66" s="12">
        <v>8</v>
      </c>
      <c r="F66" s="8">
        <v>0.64</v>
      </c>
      <c r="G66" s="12">
        <v>28</v>
      </c>
      <c r="H66" s="8">
        <v>2.14</v>
      </c>
      <c r="I66" s="12">
        <v>0</v>
      </c>
    </row>
    <row r="68" spans="2:9" ht="15" customHeight="1" x14ac:dyDescent="0.2">
      <c r="B68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55AD9-AC39-4AF6-877B-CA5827FCB7E9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311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178</v>
      </c>
      <c r="D6" s="8">
        <v>15.74</v>
      </c>
      <c r="E6" s="12">
        <v>42</v>
      </c>
      <c r="F6" s="8">
        <v>7.82</v>
      </c>
      <c r="G6" s="12">
        <v>136</v>
      </c>
      <c r="H6" s="8">
        <v>23.01</v>
      </c>
      <c r="I6" s="12">
        <v>0</v>
      </c>
    </row>
    <row r="7" spans="2:9" ht="15" customHeight="1" x14ac:dyDescent="0.2">
      <c r="B7" t="s">
        <v>76</v>
      </c>
      <c r="C7" s="12">
        <v>102</v>
      </c>
      <c r="D7" s="8">
        <v>9.02</v>
      </c>
      <c r="E7" s="12">
        <v>27</v>
      </c>
      <c r="F7" s="8">
        <v>5.03</v>
      </c>
      <c r="G7" s="12">
        <v>75</v>
      </c>
      <c r="H7" s="8">
        <v>12.69</v>
      </c>
      <c r="I7" s="12">
        <v>0</v>
      </c>
    </row>
    <row r="8" spans="2:9" ht="15" customHeight="1" x14ac:dyDescent="0.2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78</v>
      </c>
      <c r="C9" s="12">
        <v>12</v>
      </c>
      <c r="D9" s="8">
        <v>1.06</v>
      </c>
      <c r="E9" s="12">
        <v>0</v>
      </c>
      <c r="F9" s="8">
        <v>0</v>
      </c>
      <c r="G9" s="12">
        <v>12</v>
      </c>
      <c r="H9" s="8">
        <v>2.0299999999999998</v>
      </c>
      <c r="I9" s="12">
        <v>0</v>
      </c>
    </row>
    <row r="10" spans="2:9" ht="15" customHeight="1" x14ac:dyDescent="0.2">
      <c r="B10" t="s">
        <v>79</v>
      </c>
      <c r="C10" s="12">
        <v>7</v>
      </c>
      <c r="D10" s="8">
        <v>0.62</v>
      </c>
      <c r="E10" s="12">
        <v>0</v>
      </c>
      <c r="F10" s="8">
        <v>0</v>
      </c>
      <c r="G10" s="12">
        <v>6</v>
      </c>
      <c r="H10" s="8">
        <v>1.02</v>
      </c>
      <c r="I10" s="12">
        <v>0</v>
      </c>
    </row>
    <row r="11" spans="2:9" ht="15" customHeight="1" x14ac:dyDescent="0.2">
      <c r="B11" t="s">
        <v>80</v>
      </c>
      <c r="C11" s="12">
        <v>222</v>
      </c>
      <c r="D11" s="8">
        <v>19.63</v>
      </c>
      <c r="E11" s="12">
        <v>99</v>
      </c>
      <c r="F11" s="8">
        <v>18.440000000000001</v>
      </c>
      <c r="G11" s="12">
        <v>123</v>
      </c>
      <c r="H11" s="8">
        <v>20.81</v>
      </c>
      <c r="I11" s="12">
        <v>0</v>
      </c>
    </row>
    <row r="12" spans="2:9" ht="15" customHeight="1" x14ac:dyDescent="0.2">
      <c r="B12" t="s">
        <v>81</v>
      </c>
      <c r="C12" s="12">
        <v>6</v>
      </c>
      <c r="D12" s="8">
        <v>0.53</v>
      </c>
      <c r="E12" s="12">
        <v>1</v>
      </c>
      <c r="F12" s="8">
        <v>0.19</v>
      </c>
      <c r="G12" s="12">
        <v>5</v>
      </c>
      <c r="H12" s="8">
        <v>0.85</v>
      </c>
      <c r="I12" s="12">
        <v>0</v>
      </c>
    </row>
    <row r="13" spans="2:9" ht="15" customHeight="1" x14ac:dyDescent="0.2">
      <c r="B13" t="s">
        <v>82</v>
      </c>
      <c r="C13" s="12">
        <v>116</v>
      </c>
      <c r="D13" s="8">
        <v>10.26</v>
      </c>
      <c r="E13" s="12">
        <v>31</v>
      </c>
      <c r="F13" s="8">
        <v>5.77</v>
      </c>
      <c r="G13" s="12">
        <v>84</v>
      </c>
      <c r="H13" s="8">
        <v>14.21</v>
      </c>
      <c r="I13" s="12">
        <v>0</v>
      </c>
    </row>
    <row r="14" spans="2:9" ht="15" customHeight="1" x14ac:dyDescent="0.2">
      <c r="B14" t="s">
        <v>83</v>
      </c>
      <c r="C14" s="12">
        <v>56</v>
      </c>
      <c r="D14" s="8">
        <v>4.95</v>
      </c>
      <c r="E14" s="12">
        <v>28</v>
      </c>
      <c r="F14" s="8">
        <v>5.21</v>
      </c>
      <c r="G14" s="12">
        <v>28</v>
      </c>
      <c r="H14" s="8">
        <v>4.74</v>
      </c>
      <c r="I14" s="12">
        <v>0</v>
      </c>
    </row>
    <row r="15" spans="2:9" ht="15" customHeight="1" x14ac:dyDescent="0.2">
      <c r="B15" t="s">
        <v>84</v>
      </c>
      <c r="C15" s="12">
        <v>95</v>
      </c>
      <c r="D15" s="8">
        <v>8.4</v>
      </c>
      <c r="E15" s="12">
        <v>73</v>
      </c>
      <c r="F15" s="8">
        <v>13.59</v>
      </c>
      <c r="G15" s="12">
        <v>22</v>
      </c>
      <c r="H15" s="8">
        <v>3.72</v>
      </c>
      <c r="I15" s="12">
        <v>0</v>
      </c>
    </row>
    <row r="16" spans="2:9" ht="15" customHeight="1" x14ac:dyDescent="0.2">
      <c r="B16" t="s">
        <v>85</v>
      </c>
      <c r="C16" s="12">
        <v>176</v>
      </c>
      <c r="D16" s="8">
        <v>15.56</v>
      </c>
      <c r="E16" s="12">
        <v>135</v>
      </c>
      <c r="F16" s="8">
        <v>25.14</v>
      </c>
      <c r="G16" s="12">
        <v>41</v>
      </c>
      <c r="H16" s="8">
        <v>6.94</v>
      </c>
      <c r="I16" s="12">
        <v>0</v>
      </c>
    </row>
    <row r="17" spans="2:9" ht="15" customHeight="1" x14ac:dyDescent="0.2">
      <c r="B17" t="s">
        <v>86</v>
      </c>
      <c r="C17" s="12">
        <v>48</v>
      </c>
      <c r="D17" s="8">
        <v>4.24</v>
      </c>
      <c r="E17" s="12">
        <v>33</v>
      </c>
      <c r="F17" s="8">
        <v>6.15</v>
      </c>
      <c r="G17" s="12">
        <v>15</v>
      </c>
      <c r="H17" s="8">
        <v>2.54</v>
      </c>
      <c r="I17" s="12">
        <v>0</v>
      </c>
    </row>
    <row r="18" spans="2:9" ht="15" customHeight="1" x14ac:dyDescent="0.2">
      <c r="B18" t="s">
        <v>87</v>
      </c>
      <c r="C18" s="12">
        <v>74</v>
      </c>
      <c r="D18" s="8">
        <v>6.54</v>
      </c>
      <c r="E18" s="12">
        <v>51</v>
      </c>
      <c r="F18" s="8">
        <v>9.5</v>
      </c>
      <c r="G18" s="12">
        <v>23</v>
      </c>
      <c r="H18" s="8">
        <v>3.89</v>
      </c>
      <c r="I18" s="12">
        <v>0</v>
      </c>
    </row>
    <row r="19" spans="2:9" ht="15" customHeight="1" x14ac:dyDescent="0.2">
      <c r="B19" t="s">
        <v>88</v>
      </c>
      <c r="C19" s="12">
        <v>39</v>
      </c>
      <c r="D19" s="8">
        <v>3.45</v>
      </c>
      <c r="E19" s="12">
        <v>17</v>
      </c>
      <c r="F19" s="8">
        <v>3.17</v>
      </c>
      <c r="G19" s="12">
        <v>21</v>
      </c>
      <c r="H19" s="8">
        <v>3.55</v>
      </c>
      <c r="I19" s="12">
        <v>1</v>
      </c>
    </row>
    <row r="20" spans="2:9" ht="15" customHeight="1" x14ac:dyDescent="0.2">
      <c r="B20" s="9" t="s">
        <v>269</v>
      </c>
      <c r="C20" s="12">
        <f>SUM(LTBL_11233[総数／事業所数])</f>
        <v>1131</v>
      </c>
      <c r="E20" s="12">
        <f>SUBTOTAL(109,LTBL_11233[個人／事業所数])</f>
        <v>537</v>
      </c>
      <c r="G20" s="12">
        <f>SUBTOTAL(109,LTBL_11233[法人／事業所数])</f>
        <v>591</v>
      </c>
      <c r="I20" s="12">
        <f>SUBTOTAL(109,LTBL_11233[法人以外の団体／事業所数])</f>
        <v>1</v>
      </c>
    </row>
    <row r="21" spans="2:9" ht="15" customHeight="1" x14ac:dyDescent="0.2">
      <c r="E21" s="11">
        <f>LTBL_11233[[#Totals],[個人／事業所数]]/LTBL_11233[[#Totals],[総数／事業所数]]</f>
        <v>0.47480106100795755</v>
      </c>
      <c r="G21" s="11">
        <f>LTBL_11233[[#Totals],[法人／事業所数]]/LTBL_11233[[#Totals],[総数／事業所数]]</f>
        <v>0.52254641909814326</v>
      </c>
      <c r="I21" s="11">
        <f>LTBL_11233[[#Totals],[法人以外の団体／事業所数]]/LTBL_11233[[#Totals],[総数／事業所数]]</f>
        <v>8.8417329796640137E-4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142</v>
      </c>
      <c r="D24" s="8">
        <v>12.56</v>
      </c>
      <c r="E24" s="12">
        <v>110</v>
      </c>
      <c r="F24" s="8">
        <v>20.48</v>
      </c>
      <c r="G24" s="12">
        <v>32</v>
      </c>
      <c r="H24" s="8">
        <v>5.41</v>
      </c>
      <c r="I24" s="12">
        <v>0</v>
      </c>
    </row>
    <row r="25" spans="2:9" ht="15" customHeight="1" x14ac:dyDescent="0.2">
      <c r="B25" t="s">
        <v>111</v>
      </c>
      <c r="C25" s="12">
        <v>90</v>
      </c>
      <c r="D25" s="8">
        <v>7.96</v>
      </c>
      <c r="E25" s="12">
        <v>71</v>
      </c>
      <c r="F25" s="8">
        <v>13.22</v>
      </c>
      <c r="G25" s="12">
        <v>19</v>
      </c>
      <c r="H25" s="8">
        <v>3.21</v>
      </c>
      <c r="I25" s="12">
        <v>0</v>
      </c>
    </row>
    <row r="26" spans="2:9" ht="15" customHeight="1" x14ac:dyDescent="0.2">
      <c r="B26" t="s">
        <v>108</v>
      </c>
      <c r="C26" s="12">
        <v>83</v>
      </c>
      <c r="D26" s="8">
        <v>7.34</v>
      </c>
      <c r="E26" s="12">
        <v>27</v>
      </c>
      <c r="F26" s="8">
        <v>5.03</v>
      </c>
      <c r="G26" s="12">
        <v>55</v>
      </c>
      <c r="H26" s="8">
        <v>9.31</v>
      </c>
      <c r="I26" s="12">
        <v>0</v>
      </c>
    </row>
    <row r="27" spans="2:9" ht="15" customHeight="1" x14ac:dyDescent="0.2">
      <c r="B27" t="s">
        <v>106</v>
      </c>
      <c r="C27" s="12">
        <v>65</v>
      </c>
      <c r="D27" s="8">
        <v>5.75</v>
      </c>
      <c r="E27" s="12">
        <v>33</v>
      </c>
      <c r="F27" s="8">
        <v>6.15</v>
      </c>
      <c r="G27" s="12">
        <v>32</v>
      </c>
      <c r="H27" s="8">
        <v>5.41</v>
      </c>
      <c r="I27" s="12">
        <v>0</v>
      </c>
    </row>
    <row r="28" spans="2:9" ht="15" customHeight="1" x14ac:dyDescent="0.2">
      <c r="B28" t="s">
        <v>98</v>
      </c>
      <c r="C28" s="12">
        <v>61</v>
      </c>
      <c r="D28" s="8">
        <v>5.39</v>
      </c>
      <c r="E28" s="12">
        <v>18</v>
      </c>
      <c r="F28" s="8">
        <v>3.35</v>
      </c>
      <c r="G28" s="12">
        <v>43</v>
      </c>
      <c r="H28" s="8">
        <v>7.28</v>
      </c>
      <c r="I28" s="12">
        <v>0</v>
      </c>
    </row>
    <row r="29" spans="2:9" ht="15" customHeight="1" x14ac:dyDescent="0.2">
      <c r="B29" t="s">
        <v>97</v>
      </c>
      <c r="C29" s="12">
        <v>59</v>
      </c>
      <c r="D29" s="8">
        <v>5.22</v>
      </c>
      <c r="E29" s="12">
        <v>15</v>
      </c>
      <c r="F29" s="8">
        <v>2.79</v>
      </c>
      <c r="G29" s="12">
        <v>44</v>
      </c>
      <c r="H29" s="8">
        <v>7.45</v>
      </c>
      <c r="I29" s="12">
        <v>0</v>
      </c>
    </row>
    <row r="30" spans="2:9" ht="15" customHeight="1" x14ac:dyDescent="0.2">
      <c r="B30" t="s">
        <v>115</v>
      </c>
      <c r="C30" s="12">
        <v>59</v>
      </c>
      <c r="D30" s="8">
        <v>5.22</v>
      </c>
      <c r="E30" s="12">
        <v>51</v>
      </c>
      <c r="F30" s="8">
        <v>9.5</v>
      </c>
      <c r="G30" s="12">
        <v>8</v>
      </c>
      <c r="H30" s="8">
        <v>1.35</v>
      </c>
      <c r="I30" s="12">
        <v>0</v>
      </c>
    </row>
    <row r="31" spans="2:9" ht="15" customHeight="1" x14ac:dyDescent="0.2">
      <c r="B31" t="s">
        <v>99</v>
      </c>
      <c r="C31" s="12">
        <v>58</v>
      </c>
      <c r="D31" s="8">
        <v>5.13</v>
      </c>
      <c r="E31" s="12">
        <v>9</v>
      </c>
      <c r="F31" s="8">
        <v>1.68</v>
      </c>
      <c r="G31" s="12">
        <v>49</v>
      </c>
      <c r="H31" s="8">
        <v>8.2899999999999991</v>
      </c>
      <c r="I31" s="12">
        <v>0</v>
      </c>
    </row>
    <row r="32" spans="2:9" ht="15" customHeight="1" x14ac:dyDescent="0.2">
      <c r="B32" t="s">
        <v>114</v>
      </c>
      <c r="C32" s="12">
        <v>48</v>
      </c>
      <c r="D32" s="8">
        <v>4.24</v>
      </c>
      <c r="E32" s="12">
        <v>33</v>
      </c>
      <c r="F32" s="8">
        <v>6.15</v>
      </c>
      <c r="G32" s="12">
        <v>15</v>
      </c>
      <c r="H32" s="8">
        <v>2.54</v>
      </c>
      <c r="I32" s="12">
        <v>0</v>
      </c>
    </row>
    <row r="33" spans="2:9" ht="15" customHeight="1" x14ac:dyDescent="0.2">
      <c r="B33" t="s">
        <v>104</v>
      </c>
      <c r="C33" s="12">
        <v>42</v>
      </c>
      <c r="D33" s="8">
        <v>3.71</v>
      </c>
      <c r="E33" s="12">
        <v>32</v>
      </c>
      <c r="F33" s="8">
        <v>5.96</v>
      </c>
      <c r="G33" s="12">
        <v>10</v>
      </c>
      <c r="H33" s="8">
        <v>1.69</v>
      </c>
      <c r="I33" s="12">
        <v>0</v>
      </c>
    </row>
    <row r="34" spans="2:9" ht="15" customHeight="1" x14ac:dyDescent="0.2">
      <c r="B34" t="s">
        <v>109</v>
      </c>
      <c r="C34" s="12">
        <v>31</v>
      </c>
      <c r="D34" s="8">
        <v>2.74</v>
      </c>
      <c r="E34" s="12">
        <v>20</v>
      </c>
      <c r="F34" s="8">
        <v>3.72</v>
      </c>
      <c r="G34" s="12">
        <v>11</v>
      </c>
      <c r="H34" s="8">
        <v>1.86</v>
      </c>
      <c r="I34" s="12">
        <v>0</v>
      </c>
    </row>
    <row r="35" spans="2:9" ht="15" customHeight="1" x14ac:dyDescent="0.2">
      <c r="B35" t="s">
        <v>113</v>
      </c>
      <c r="C35" s="12">
        <v>31</v>
      </c>
      <c r="D35" s="8">
        <v>2.74</v>
      </c>
      <c r="E35" s="12">
        <v>23</v>
      </c>
      <c r="F35" s="8">
        <v>4.28</v>
      </c>
      <c r="G35" s="12">
        <v>8</v>
      </c>
      <c r="H35" s="8">
        <v>1.35</v>
      </c>
      <c r="I35" s="12">
        <v>0</v>
      </c>
    </row>
    <row r="36" spans="2:9" ht="15" customHeight="1" x14ac:dyDescent="0.2">
      <c r="B36" t="s">
        <v>107</v>
      </c>
      <c r="C36" s="12">
        <v>28</v>
      </c>
      <c r="D36" s="8">
        <v>2.48</v>
      </c>
      <c r="E36" s="12">
        <v>4</v>
      </c>
      <c r="F36" s="8">
        <v>0.74</v>
      </c>
      <c r="G36" s="12">
        <v>24</v>
      </c>
      <c r="H36" s="8">
        <v>4.0599999999999996</v>
      </c>
      <c r="I36" s="12">
        <v>0</v>
      </c>
    </row>
    <row r="37" spans="2:9" ht="15" customHeight="1" x14ac:dyDescent="0.2">
      <c r="B37" t="s">
        <v>105</v>
      </c>
      <c r="C37" s="12">
        <v>27</v>
      </c>
      <c r="D37" s="8">
        <v>2.39</v>
      </c>
      <c r="E37" s="12">
        <v>12</v>
      </c>
      <c r="F37" s="8">
        <v>2.23</v>
      </c>
      <c r="G37" s="12">
        <v>15</v>
      </c>
      <c r="H37" s="8">
        <v>2.54</v>
      </c>
      <c r="I37" s="12">
        <v>0</v>
      </c>
    </row>
    <row r="38" spans="2:9" ht="15" customHeight="1" x14ac:dyDescent="0.2">
      <c r="B38" t="s">
        <v>110</v>
      </c>
      <c r="C38" s="12">
        <v>24</v>
      </c>
      <c r="D38" s="8">
        <v>2.12</v>
      </c>
      <c r="E38" s="12">
        <v>8</v>
      </c>
      <c r="F38" s="8">
        <v>1.49</v>
      </c>
      <c r="G38" s="12">
        <v>16</v>
      </c>
      <c r="H38" s="8">
        <v>2.71</v>
      </c>
      <c r="I38" s="12">
        <v>0</v>
      </c>
    </row>
    <row r="39" spans="2:9" ht="15" customHeight="1" x14ac:dyDescent="0.2">
      <c r="B39" t="s">
        <v>102</v>
      </c>
      <c r="C39" s="12">
        <v>23</v>
      </c>
      <c r="D39" s="8">
        <v>2.0299999999999998</v>
      </c>
      <c r="E39" s="12">
        <v>3</v>
      </c>
      <c r="F39" s="8">
        <v>0.56000000000000005</v>
      </c>
      <c r="G39" s="12">
        <v>20</v>
      </c>
      <c r="H39" s="8">
        <v>3.38</v>
      </c>
      <c r="I39" s="12">
        <v>0</v>
      </c>
    </row>
    <row r="40" spans="2:9" ht="15" customHeight="1" x14ac:dyDescent="0.2">
      <c r="B40" t="s">
        <v>103</v>
      </c>
      <c r="C40" s="12">
        <v>22</v>
      </c>
      <c r="D40" s="8">
        <v>1.95</v>
      </c>
      <c r="E40" s="12">
        <v>16</v>
      </c>
      <c r="F40" s="8">
        <v>2.98</v>
      </c>
      <c r="G40" s="12">
        <v>6</v>
      </c>
      <c r="H40" s="8">
        <v>1.02</v>
      </c>
      <c r="I40" s="12">
        <v>0</v>
      </c>
    </row>
    <row r="41" spans="2:9" ht="15" customHeight="1" x14ac:dyDescent="0.2">
      <c r="B41" t="s">
        <v>116</v>
      </c>
      <c r="C41" s="12">
        <v>22</v>
      </c>
      <c r="D41" s="8">
        <v>1.95</v>
      </c>
      <c r="E41" s="12">
        <v>12</v>
      </c>
      <c r="F41" s="8">
        <v>2.23</v>
      </c>
      <c r="G41" s="12">
        <v>10</v>
      </c>
      <c r="H41" s="8">
        <v>1.69</v>
      </c>
      <c r="I41" s="12">
        <v>0</v>
      </c>
    </row>
    <row r="42" spans="2:9" ht="15" customHeight="1" x14ac:dyDescent="0.2">
      <c r="B42" t="s">
        <v>120</v>
      </c>
      <c r="C42" s="12">
        <v>20</v>
      </c>
      <c r="D42" s="8">
        <v>1.77</v>
      </c>
      <c r="E42" s="12">
        <v>4</v>
      </c>
      <c r="F42" s="8">
        <v>0.74</v>
      </c>
      <c r="G42" s="12">
        <v>16</v>
      </c>
      <c r="H42" s="8">
        <v>2.71</v>
      </c>
      <c r="I42" s="12">
        <v>0</v>
      </c>
    </row>
    <row r="43" spans="2:9" ht="15" customHeight="1" x14ac:dyDescent="0.2">
      <c r="B43" t="s">
        <v>101</v>
      </c>
      <c r="C43" s="12">
        <v>15</v>
      </c>
      <c r="D43" s="8">
        <v>1.33</v>
      </c>
      <c r="E43" s="12">
        <v>0</v>
      </c>
      <c r="F43" s="8">
        <v>0</v>
      </c>
      <c r="G43" s="12">
        <v>15</v>
      </c>
      <c r="H43" s="8">
        <v>2.54</v>
      </c>
      <c r="I43" s="12">
        <v>0</v>
      </c>
    </row>
    <row r="44" spans="2:9" ht="15" customHeight="1" x14ac:dyDescent="0.2">
      <c r="B44" t="s">
        <v>118</v>
      </c>
      <c r="C44" s="12">
        <v>15</v>
      </c>
      <c r="D44" s="8">
        <v>1.33</v>
      </c>
      <c r="E44" s="12">
        <v>0</v>
      </c>
      <c r="F44" s="8">
        <v>0</v>
      </c>
      <c r="G44" s="12">
        <v>15</v>
      </c>
      <c r="H44" s="8">
        <v>2.54</v>
      </c>
      <c r="I44" s="12">
        <v>0</v>
      </c>
    </row>
    <row r="47" spans="2:9" ht="33" customHeight="1" x14ac:dyDescent="0.2">
      <c r="B47" t="s">
        <v>271</v>
      </c>
      <c r="C47" s="10" t="s">
        <v>90</v>
      </c>
      <c r="D47" s="10" t="s">
        <v>91</v>
      </c>
      <c r="E47" s="10" t="s">
        <v>92</v>
      </c>
      <c r="F47" s="10" t="s">
        <v>93</v>
      </c>
      <c r="G47" s="10" t="s">
        <v>94</v>
      </c>
      <c r="H47" s="10" t="s">
        <v>95</v>
      </c>
      <c r="I47" s="10" t="s">
        <v>96</v>
      </c>
    </row>
    <row r="48" spans="2:9" ht="15" customHeight="1" x14ac:dyDescent="0.2">
      <c r="B48" t="s">
        <v>173</v>
      </c>
      <c r="C48" s="12">
        <v>62</v>
      </c>
      <c r="D48" s="8">
        <v>5.48</v>
      </c>
      <c r="E48" s="12">
        <v>52</v>
      </c>
      <c r="F48" s="8">
        <v>9.68</v>
      </c>
      <c r="G48" s="12">
        <v>10</v>
      </c>
      <c r="H48" s="8">
        <v>1.69</v>
      </c>
      <c r="I48" s="12">
        <v>0</v>
      </c>
    </row>
    <row r="49" spans="2:9" ht="15" customHeight="1" x14ac:dyDescent="0.2">
      <c r="B49" t="s">
        <v>172</v>
      </c>
      <c r="C49" s="12">
        <v>51</v>
      </c>
      <c r="D49" s="8">
        <v>4.51</v>
      </c>
      <c r="E49" s="12">
        <v>44</v>
      </c>
      <c r="F49" s="8">
        <v>8.19</v>
      </c>
      <c r="G49" s="12">
        <v>7</v>
      </c>
      <c r="H49" s="8">
        <v>1.18</v>
      </c>
      <c r="I49" s="12">
        <v>0</v>
      </c>
    </row>
    <row r="50" spans="2:9" ht="15" customHeight="1" x14ac:dyDescent="0.2">
      <c r="B50" t="s">
        <v>175</v>
      </c>
      <c r="C50" s="12">
        <v>43</v>
      </c>
      <c r="D50" s="8">
        <v>3.8</v>
      </c>
      <c r="E50" s="12">
        <v>38</v>
      </c>
      <c r="F50" s="8">
        <v>7.08</v>
      </c>
      <c r="G50" s="12">
        <v>5</v>
      </c>
      <c r="H50" s="8">
        <v>0.85</v>
      </c>
      <c r="I50" s="12">
        <v>0</v>
      </c>
    </row>
    <row r="51" spans="2:9" ht="15" customHeight="1" x14ac:dyDescent="0.2">
      <c r="B51" t="s">
        <v>167</v>
      </c>
      <c r="C51" s="12">
        <v>36</v>
      </c>
      <c r="D51" s="8">
        <v>3.18</v>
      </c>
      <c r="E51" s="12">
        <v>19</v>
      </c>
      <c r="F51" s="8">
        <v>3.54</v>
      </c>
      <c r="G51" s="12">
        <v>16</v>
      </c>
      <c r="H51" s="8">
        <v>2.71</v>
      </c>
      <c r="I51" s="12">
        <v>0</v>
      </c>
    </row>
    <row r="52" spans="2:9" ht="15" customHeight="1" x14ac:dyDescent="0.2">
      <c r="B52" t="s">
        <v>174</v>
      </c>
      <c r="C52" s="12">
        <v>27</v>
      </c>
      <c r="D52" s="8">
        <v>2.39</v>
      </c>
      <c r="E52" s="12">
        <v>21</v>
      </c>
      <c r="F52" s="8">
        <v>3.91</v>
      </c>
      <c r="G52" s="12">
        <v>6</v>
      </c>
      <c r="H52" s="8">
        <v>1.02</v>
      </c>
      <c r="I52" s="12">
        <v>0</v>
      </c>
    </row>
    <row r="53" spans="2:9" ht="15" customHeight="1" x14ac:dyDescent="0.2">
      <c r="B53" t="s">
        <v>160</v>
      </c>
      <c r="C53" s="12">
        <v>26</v>
      </c>
      <c r="D53" s="8">
        <v>2.2999999999999998</v>
      </c>
      <c r="E53" s="12">
        <v>2</v>
      </c>
      <c r="F53" s="8">
        <v>0.37</v>
      </c>
      <c r="G53" s="12">
        <v>24</v>
      </c>
      <c r="H53" s="8">
        <v>4.0599999999999996</v>
      </c>
      <c r="I53" s="12">
        <v>0</v>
      </c>
    </row>
    <row r="54" spans="2:9" ht="15" customHeight="1" x14ac:dyDescent="0.2">
      <c r="B54" t="s">
        <v>169</v>
      </c>
      <c r="C54" s="12">
        <v>26</v>
      </c>
      <c r="D54" s="8">
        <v>2.2999999999999998</v>
      </c>
      <c r="E54" s="12">
        <v>16</v>
      </c>
      <c r="F54" s="8">
        <v>2.98</v>
      </c>
      <c r="G54" s="12">
        <v>10</v>
      </c>
      <c r="H54" s="8">
        <v>1.69</v>
      </c>
      <c r="I54" s="12">
        <v>0</v>
      </c>
    </row>
    <row r="55" spans="2:9" ht="15" customHeight="1" x14ac:dyDescent="0.2">
      <c r="B55" t="s">
        <v>170</v>
      </c>
      <c r="C55" s="12">
        <v>26</v>
      </c>
      <c r="D55" s="8">
        <v>2.2999999999999998</v>
      </c>
      <c r="E55" s="12">
        <v>24</v>
      </c>
      <c r="F55" s="8">
        <v>4.47</v>
      </c>
      <c r="G55" s="12">
        <v>2</v>
      </c>
      <c r="H55" s="8">
        <v>0.34</v>
      </c>
      <c r="I55" s="12">
        <v>0</v>
      </c>
    </row>
    <row r="56" spans="2:9" ht="15" customHeight="1" x14ac:dyDescent="0.2">
      <c r="B56" t="s">
        <v>165</v>
      </c>
      <c r="C56" s="12">
        <v>25</v>
      </c>
      <c r="D56" s="8">
        <v>2.21</v>
      </c>
      <c r="E56" s="12">
        <v>4</v>
      </c>
      <c r="F56" s="8">
        <v>0.74</v>
      </c>
      <c r="G56" s="12">
        <v>21</v>
      </c>
      <c r="H56" s="8">
        <v>3.55</v>
      </c>
      <c r="I56" s="12">
        <v>0</v>
      </c>
    </row>
    <row r="57" spans="2:9" ht="15" customHeight="1" x14ac:dyDescent="0.2">
      <c r="B57" t="s">
        <v>176</v>
      </c>
      <c r="C57" s="12">
        <v>22</v>
      </c>
      <c r="D57" s="8">
        <v>1.95</v>
      </c>
      <c r="E57" s="12">
        <v>12</v>
      </c>
      <c r="F57" s="8">
        <v>2.23</v>
      </c>
      <c r="G57" s="12">
        <v>10</v>
      </c>
      <c r="H57" s="8">
        <v>1.69</v>
      </c>
      <c r="I57" s="12">
        <v>0</v>
      </c>
    </row>
    <row r="58" spans="2:9" ht="15" customHeight="1" x14ac:dyDescent="0.2">
      <c r="B58" t="s">
        <v>168</v>
      </c>
      <c r="C58" s="12">
        <v>21</v>
      </c>
      <c r="D58" s="8">
        <v>1.86</v>
      </c>
      <c r="E58" s="12">
        <v>3</v>
      </c>
      <c r="F58" s="8">
        <v>0.56000000000000005</v>
      </c>
      <c r="G58" s="12">
        <v>18</v>
      </c>
      <c r="H58" s="8">
        <v>3.05</v>
      </c>
      <c r="I58" s="12">
        <v>0</v>
      </c>
    </row>
    <row r="59" spans="2:9" ht="15" customHeight="1" x14ac:dyDescent="0.2">
      <c r="B59" t="s">
        <v>171</v>
      </c>
      <c r="C59" s="12">
        <v>21</v>
      </c>
      <c r="D59" s="8">
        <v>1.86</v>
      </c>
      <c r="E59" s="12">
        <v>10</v>
      </c>
      <c r="F59" s="8">
        <v>1.86</v>
      </c>
      <c r="G59" s="12">
        <v>11</v>
      </c>
      <c r="H59" s="8">
        <v>1.86</v>
      </c>
      <c r="I59" s="12">
        <v>0</v>
      </c>
    </row>
    <row r="60" spans="2:9" ht="15" customHeight="1" x14ac:dyDescent="0.2">
      <c r="B60" t="s">
        <v>161</v>
      </c>
      <c r="C60" s="12">
        <v>20</v>
      </c>
      <c r="D60" s="8">
        <v>1.77</v>
      </c>
      <c r="E60" s="12">
        <v>6</v>
      </c>
      <c r="F60" s="8">
        <v>1.1200000000000001</v>
      </c>
      <c r="G60" s="12">
        <v>14</v>
      </c>
      <c r="H60" s="8">
        <v>2.37</v>
      </c>
      <c r="I60" s="12">
        <v>0</v>
      </c>
    </row>
    <row r="61" spans="2:9" ht="15" customHeight="1" x14ac:dyDescent="0.2">
      <c r="B61" t="s">
        <v>166</v>
      </c>
      <c r="C61" s="12">
        <v>18</v>
      </c>
      <c r="D61" s="8">
        <v>1.59</v>
      </c>
      <c r="E61" s="12">
        <v>3</v>
      </c>
      <c r="F61" s="8">
        <v>0.56000000000000005</v>
      </c>
      <c r="G61" s="12">
        <v>15</v>
      </c>
      <c r="H61" s="8">
        <v>2.54</v>
      </c>
      <c r="I61" s="12">
        <v>0</v>
      </c>
    </row>
    <row r="62" spans="2:9" ht="15" customHeight="1" x14ac:dyDescent="0.2">
      <c r="B62" t="s">
        <v>178</v>
      </c>
      <c r="C62" s="12">
        <v>18</v>
      </c>
      <c r="D62" s="8">
        <v>1.59</v>
      </c>
      <c r="E62" s="12">
        <v>6</v>
      </c>
      <c r="F62" s="8">
        <v>1.1200000000000001</v>
      </c>
      <c r="G62" s="12">
        <v>12</v>
      </c>
      <c r="H62" s="8">
        <v>2.0299999999999998</v>
      </c>
      <c r="I62" s="12">
        <v>0</v>
      </c>
    </row>
    <row r="63" spans="2:9" ht="15" customHeight="1" x14ac:dyDescent="0.2">
      <c r="B63" t="s">
        <v>209</v>
      </c>
      <c r="C63" s="12">
        <v>17</v>
      </c>
      <c r="D63" s="8">
        <v>1.5</v>
      </c>
      <c r="E63" s="12">
        <v>16</v>
      </c>
      <c r="F63" s="8">
        <v>2.98</v>
      </c>
      <c r="G63" s="12">
        <v>1</v>
      </c>
      <c r="H63" s="8">
        <v>0.17</v>
      </c>
      <c r="I63" s="12">
        <v>0</v>
      </c>
    </row>
    <row r="64" spans="2:9" ht="15" customHeight="1" x14ac:dyDescent="0.2">
      <c r="B64" t="s">
        <v>179</v>
      </c>
      <c r="C64" s="12">
        <v>17</v>
      </c>
      <c r="D64" s="8">
        <v>1.5</v>
      </c>
      <c r="E64" s="12">
        <v>12</v>
      </c>
      <c r="F64" s="8">
        <v>2.23</v>
      </c>
      <c r="G64" s="12">
        <v>5</v>
      </c>
      <c r="H64" s="8">
        <v>0.85</v>
      </c>
      <c r="I64" s="12">
        <v>0</v>
      </c>
    </row>
    <row r="65" spans="2:9" ht="15" customHeight="1" x14ac:dyDescent="0.2">
      <c r="B65" t="s">
        <v>159</v>
      </c>
      <c r="C65" s="12">
        <v>16</v>
      </c>
      <c r="D65" s="8">
        <v>1.41</v>
      </c>
      <c r="E65" s="12">
        <v>6</v>
      </c>
      <c r="F65" s="8">
        <v>1.1200000000000001</v>
      </c>
      <c r="G65" s="12">
        <v>10</v>
      </c>
      <c r="H65" s="8">
        <v>1.69</v>
      </c>
      <c r="I65" s="12">
        <v>0</v>
      </c>
    </row>
    <row r="66" spans="2:9" ht="15" customHeight="1" x14ac:dyDescent="0.2">
      <c r="B66" t="s">
        <v>197</v>
      </c>
      <c r="C66" s="12">
        <v>16</v>
      </c>
      <c r="D66" s="8">
        <v>1.41</v>
      </c>
      <c r="E66" s="12">
        <v>4</v>
      </c>
      <c r="F66" s="8">
        <v>0.74</v>
      </c>
      <c r="G66" s="12">
        <v>12</v>
      </c>
      <c r="H66" s="8">
        <v>2.0299999999999998</v>
      </c>
      <c r="I66" s="12">
        <v>0</v>
      </c>
    </row>
    <row r="67" spans="2:9" ht="15" customHeight="1" x14ac:dyDescent="0.2">
      <c r="B67" t="s">
        <v>164</v>
      </c>
      <c r="C67" s="12">
        <v>16</v>
      </c>
      <c r="D67" s="8">
        <v>1.41</v>
      </c>
      <c r="E67" s="12">
        <v>10</v>
      </c>
      <c r="F67" s="8">
        <v>1.86</v>
      </c>
      <c r="G67" s="12">
        <v>6</v>
      </c>
      <c r="H67" s="8">
        <v>1.02</v>
      </c>
      <c r="I67" s="12">
        <v>0</v>
      </c>
    </row>
    <row r="69" spans="2:9" ht="15" customHeight="1" x14ac:dyDescent="0.2">
      <c r="B69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4CA11-9845-4BD6-99E7-B9F8A76D9FB7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312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450</v>
      </c>
      <c r="D6" s="8">
        <v>16.97</v>
      </c>
      <c r="E6" s="12">
        <v>88</v>
      </c>
      <c r="F6" s="8">
        <v>9.5500000000000007</v>
      </c>
      <c r="G6" s="12">
        <v>362</v>
      </c>
      <c r="H6" s="8">
        <v>21.01</v>
      </c>
      <c r="I6" s="12">
        <v>0</v>
      </c>
    </row>
    <row r="7" spans="2:9" ht="15" customHeight="1" x14ac:dyDescent="0.2">
      <c r="B7" t="s">
        <v>76</v>
      </c>
      <c r="C7" s="12">
        <v>884</v>
      </c>
      <c r="D7" s="8">
        <v>33.35</v>
      </c>
      <c r="E7" s="12">
        <v>225</v>
      </c>
      <c r="F7" s="8">
        <v>24.43</v>
      </c>
      <c r="G7" s="12">
        <v>659</v>
      </c>
      <c r="H7" s="8">
        <v>38.25</v>
      </c>
      <c r="I7" s="12">
        <v>0</v>
      </c>
    </row>
    <row r="8" spans="2:9" ht="15" customHeight="1" x14ac:dyDescent="0.2">
      <c r="B8" t="s">
        <v>77</v>
      </c>
      <c r="C8" s="12">
        <v>2</v>
      </c>
      <c r="D8" s="8">
        <v>0.08</v>
      </c>
      <c r="E8" s="12">
        <v>0</v>
      </c>
      <c r="F8" s="8">
        <v>0</v>
      </c>
      <c r="G8" s="12">
        <v>2</v>
      </c>
      <c r="H8" s="8">
        <v>0.12</v>
      </c>
      <c r="I8" s="12">
        <v>0</v>
      </c>
    </row>
    <row r="9" spans="2:9" ht="15" customHeight="1" x14ac:dyDescent="0.2">
      <c r="B9" t="s">
        <v>78</v>
      </c>
      <c r="C9" s="12">
        <v>18</v>
      </c>
      <c r="D9" s="8">
        <v>0.68</v>
      </c>
      <c r="E9" s="12">
        <v>1</v>
      </c>
      <c r="F9" s="8">
        <v>0.11</v>
      </c>
      <c r="G9" s="12">
        <v>17</v>
      </c>
      <c r="H9" s="8">
        <v>0.99</v>
      </c>
      <c r="I9" s="12">
        <v>0</v>
      </c>
    </row>
    <row r="10" spans="2:9" ht="15" customHeight="1" x14ac:dyDescent="0.2">
      <c r="B10" t="s">
        <v>79</v>
      </c>
      <c r="C10" s="12">
        <v>45</v>
      </c>
      <c r="D10" s="8">
        <v>1.7</v>
      </c>
      <c r="E10" s="12">
        <v>6</v>
      </c>
      <c r="F10" s="8">
        <v>0.65</v>
      </c>
      <c r="G10" s="12">
        <v>39</v>
      </c>
      <c r="H10" s="8">
        <v>2.2599999999999998</v>
      </c>
      <c r="I10" s="12">
        <v>0</v>
      </c>
    </row>
    <row r="11" spans="2:9" ht="15" customHeight="1" x14ac:dyDescent="0.2">
      <c r="B11" t="s">
        <v>80</v>
      </c>
      <c r="C11" s="12">
        <v>394</v>
      </c>
      <c r="D11" s="8">
        <v>14.86</v>
      </c>
      <c r="E11" s="12">
        <v>135</v>
      </c>
      <c r="F11" s="8">
        <v>14.66</v>
      </c>
      <c r="G11" s="12">
        <v>259</v>
      </c>
      <c r="H11" s="8">
        <v>15.03</v>
      </c>
      <c r="I11" s="12">
        <v>0</v>
      </c>
    </row>
    <row r="12" spans="2:9" ht="15" customHeight="1" x14ac:dyDescent="0.2">
      <c r="B12" t="s">
        <v>81</v>
      </c>
      <c r="C12" s="12">
        <v>7</v>
      </c>
      <c r="D12" s="8">
        <v>0.26</v>
      </c>
      <c r="E12" s="12">
        <v>0</v>
      </c>
      <c r="F12" s="8">
        <v>0</v>
      </c>
      <c r="G12" s="12">
        <v>7</v>
      </c>
      <c r="H12" s="8">
        <v>0.41</v>
      </c>
      <c r="I12" s="12">
        <v>0</v>
      </c>
    </row>
    <row r="13" spans="2:9" ht="15" customHeight="1" x14ac:dyDescent="0.2">
      <c r="B13" t="s">
        <v>82</v>
      </c>
      <c r="C13" s="12">
        <v>258</v>
      </c>
      <c r="D13" s="8">
        <v>9.73</v>
      </c>
      <c r="E13" s="12">
        <v>105</v>
      </c>
      <c r="F13" s="8">
        <v>11.4</v>
      </c>
      <c r="G13" s="12">
        <v>152</v>
      </c>
      <c r="H13" s="8">
        <v>8.82</v>
      </c>
      <c r="I13" s="12">
        <v>0</v>
      </c>
    </row>
    <row r="14" spans="2:9" ht="15" customHeight="1" x14ac:dyDescent="0.2">
      <c r="B14" t="s">
        <v>83</v>
      </c>
      <c r="C14" s="12">
        <v>62</v>
      </c>
      <c r="D14" s="8">
        <v>2.34</v>
      </c>
      <c r="E14" s="12">
        <v>27</v>
      </c>
      <c r="F14" s="8">
        <v>2.93</v>
      </c>
      <c r="G14" s="12">
        <v>35</v>
      </c>
      <c r="H14" s="8">
        <v>2.0299999999999998</v>
      </c>
      <c r="I14" s="12">
        <v>0</v>
      </c>
    </row>
    <row r="15" spans="2:9" ht="15" customHeight="1" x14ac:dyDescent="0.2">
      <c r="B15" t="s">
        <v>84</v>
      </c>
      <c r="C15" s="12">
        <v>137</v>
      </c>
      <c r="D15" s="8">
        <v>5.17</v>
      </c>
      <c r="E15" s="12">
        <v>111</v>
      </c>
      <c r="F15" s="8">
        <v>12.05</v>
      </c>
      <c r="G15" s="12">
        <v>26</v>
      </c>
      <c r="H15" s="8">
        <v>1.51</v>
      </c>
      <c r="I15" s="12">
        <v>0</v>
      </c>
    </row>
    <row r="16" spans="2:9" ht="15" customHeight="1" x14ac:dyDescent="0.2">
      <c r="B16" t="s">
        <v>85</v>
      </c>
      <c r="C16" s="12">
        <v>172</v>
      </c>
      <c r="D16" s="8">
        <v>6.49</v>
      </c>
      <c r="E16" s="12">
        <v>133</v>
      </c>
      <c r="F16" s="8">
        <v>14.44</v>
      </c>
      <c r="G16" s="12">
        <v>37</v>
      </c>
      <c r="H16" s="8">
        <v>2.15</v>
      </c>
      <c r="I16" s="12">
        <v>0</v>
      </c>
    </row>
    <row r="17" spans="2:9" ht="15" customHeight="1" x14ac:dyDescent="0.2">
      <c r="B17" t="s">
        <v>86</v>
      </c>
      <c r="C17" s="12">
        <v>39</v>
      </c>
      <c r="D17" s="8">
        <v>1.47</v>
      </c>
      <c r="E17" s="12">
        <v>25</v>
      </c>
      <c r="F17" s="8">
        <v>2.71</v>
      </c>
      <c r="G17" s="12">
        <v>14</v>
      </c>
      <c r="H17" s="8">
        <v>0.81</v>
      </c>
      <c r="I17" s="12">
        <v>0</v>
      </c>
    </row>
    <row r="18" spans="2:9" ht="15" customHeight="1" x14ac:dyDescent="0.2">
      <c r="B18" t="s">
        <v>87</v>
      </c>
      <c r="C18" s="12">
        <v>73</v>
      </c>
      <c r="D18" s="8">
        <v>2.75</v>
      </c>
      <c r="E18" s="12">
        <v>37</v>
      </c>
      <c r="F18" s="8">
        <v>4.0199999999999996</v>
      </c>
      <c r="G18" s="12">
        <v>33</v>
      </c>
      <c r="H18" s="8">
        <v>1.92</v>
      </c>
      <c r="I18" s="12">
        <v>0</v>
      </c>
    </row>
    <row r="19" spans="2:9" ht="15" customHeight="1" x14ac:dyDescent="0.2">
      <c r="B19" t="s">
        <v>88</v>
      </c>
      <c r="C19" s="12">
        <v>110</v>
      </c>
      <c r="D19" s="8">
        <v>4.1500000000000004</v>
      </c>
      <c r="E19" s="12">
        <v>28</v>
      </c>
      <c r="F19" s="8">
        <v>3.04</v>
      </c>
      <c r="G19" s="12">
        <v>81</v>
      </c>
      <c r="H19" s="8">
        <v>4.7</v>
      </c>
      <c r="I19" s="12">
        <v>0</v>
      </c>
    </row>
    <row r="20" spans="2:9" ht="15" customHeight="1" x14ac:dyDescent="0.2">
      <c r="B20" s="9" t="s">
        <v>269</v>
      </c>
      <c r="C20" s="12">
        <f>SUM(LTBL_11234[総数／事業所数])</f>
        <v>2651</v>
      </c>
      <c r="E20" s="12">
        <f>SUBTOTAL(109,LTBL_11234[個人／事業所数])</f>
        <v>921</v>
      </c>
      <c r="G20" s="12">
        <f>SUBTOTAL(109,LTBL_11234[法人／事業所数])</f>
        <v>1723</v>
      </c>
      <c r="I20" s="12">
        <f>SUBTOTAL(109,LTBL_11234[法人以外の団体／事業所数])</f>
        <v>0</v>
      </c>
    </row>
    <row r="21" spans="2:9" ht="15" customHeight="1" x14ac:dyDescent="0.2">
      <c r="E21" s="11">
        <f>LTBL_11234[[#Totals],[個人／事業所数]]/LTBL_11234[[#Totals],[総数／事業所数]]</f>
        <v>0.34741606940777064</v>
      </c>
      <c r="G21" s="11">
        <f>LTBL_11234[[#Totals],[法人／事業所数]]/LTBL_11234[[#Totals],[総数／事業所数]]</f>
        <v>0.64994341757827234</v>
      </c>
      <c r="I21" s="11">
        <f>LTBL_11234[[#Totals],[法人以外の団体／事業所数]]/LTBL_11234[[#Totals],[総数／事業所数]]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100</v>
      </c>
      <c r="C24" s="12">
        <v>271</v>
      </c>
      <c r="D24" s="8">
        <v>10.220000000000001</v>
      </c>
      <c r="E24" s="12">
        <v>68</v>
      </c>
      <c r="F24" s="8">
        <v>7.38</v>
      </c>
      <c r="G24" s="12">
        <v>203</v>
      </c>
      <c r="H24" s="8">
        <v>11.78</v>
      </c>
      <c r="I24" s="12">
        <v>0</v>
      </c>
    </row>
    <row r="25" spans="2:9" ht="15" customHeight="1" x14ac:dyDescent="0.2">
      <c r="B25" t="s">
        <v>108</v>
      </c>
      <c r="C25" s="12">
        <v>197</v>
      </c>
      <c r="D25" s="8">
        <v>7.43</v>
      </c>
      <c r="E25" s="12">
        <v>101</v>
      </c>
      <c r="F25" s="8">
        <v>10.97</v>
      </c>
      <c r="G25" s="12">
        <v>95</v>
      </c>
      <c r="H25" s="8">
        <v>5.51</v>
      </c>
      <c r="I25" s="12">
        <v>0</v>
      </c>
    </row>
    <row r="26" spans="2:9" ht="15" customHeight="1" x14ac:dyDescent="0.2">
      <c r="B26" t="s">
        <v>98</v>
      </c>
      <c r="C26" s="12">
        <v>189</v>
      </c>
      <c r="D26" s="8">
        <v>7.13</v>
      </c>
      <c r="E26" s="12">
        <v>52</v>
      </c>
      <c r="F26" s="8">
        <v>5.65</v>
      </c>
      <c r="G26" s="12">
        <v>137</v>
      </c>
      <c r="H26" s="8">
        <v>7.95</v>
      </c>
      <c r="I26" s="12">
        <v>0</v>
      </c>
    </row>
    <row r="27" spans="2:9" ht="15" customHeight="1" x14ac:dyDescent="0.2">
      <c r="B27" t="s">
        <v>112</v>
      </c>
      <c r="C27" s="12">
        <v>133</v>
      </c>
      <c r="D27" s="8">
        <v>5.0199999999999996</v>
      </c>
      <c r="E27" s="12">
        <v>115</v>
      </c>
      <c r="F27" s="8">
        <v>12.49</v>
      </c>
      <c r="G27" s="12">
        <v>18</v>
      </c>
      <c r="H27" s="8">
        <v>1.04</v>
      </c>
      <c r="I27" s="12">
        <v>0</v>
      </c>
    </row>
    <row r="28" spans="2:9" ht="15" customHeight="1" x14ac:dyDescent="0.2">
      <c r="B28" t="s">
        <v>99</v>
      </c>
      <c r="C28" s="12">
        <v>132</v>
      </c>
      <c r="D28" s="8">
        <v>4.9800000000000004</v>
      </c>
      <c r="E28" s="12">
        <v>21</v>
      </c>
      <c r="F28" s="8">
        <v>2.2799999999999998</v>
      </c>
      <c r="G28" s="12">
        <v>111</v>
      </c>
      <c r="H28" s="8">
        <v>6.44</v>
      </c>
      <c r="I28" s="12">
        <v>0</v>
      </c>
    </row>
    <row r="29" spans="2:9" ht="15" customHeight="1" x14ac:dyDescent="0.2">
      <c r="B29" t="s">
        <v>97</v>
      </c>
      <c r="C29" s="12">
        <v>129</v>
      </c>
      <c r="D29" s="8">
        <v>4.87</v>
      </c>
      <c r="E29" s="12">
        <v>15</v>
      </c>
      <c r="F29" s="8">
        <v>1.63</v>
      </c>
      <c r="G29" s="12">
        <v>114</v>
      </c>
      <c r="H29" s="8">
        <v>6.62</v>
      </c>
      <c r="I29" s="12">
        <v>0</v>
      </c>
    </row>
    <row r="30" spans="2:9" ht="15" customHeight="1" x14ac:dyDescent="0.2">
      <c r="B30" t="s">
        <v>111</v>
      </c>
      <c r="C30" s="12">
        <v>118</v>
      </c>
      <c r="D30" s="8">
        <v>4.45</v>
      </c>
      <c r="E30" s="12">
        <v>104</v>
      </c>
      <c r="F30" s="8">
        <v>11.29</v>
      </c>
      <c r="G30" s="12">
        <v>14</v>
      </c>
      <c r="H30" s="8">
        <v>0.81</v>
      </c>
      <c r="I30" s="12">
        <v>0</v>
      </c>
    </row>
    <row r="31" spans="2:9" ht="15" customHeight="1" x14ac:dyDescent="0.2">
      <c r="B31" t="s">
        <v>120</v>
      </c>
      <c r="C31" s="12">
        <v>83</v>
      </c>
      <c r="D31" s="8">
        <v>3.13</v>
      </c>
      <c r="E31" s="12">
        <v>24</v>
      </c>
      <c r="F31" s="8">
        <v>2.61</v>
      </c>
      <c r="G31" s="12">
        <v>59</v>
      </c>
      <c r="H31" s="8">
        <v>3.42</v>
      </c>
      <c r="I31" s="12">
        <v>0</v>
      </c>
    </row>
    <row r="32" spans="2:9" ht="15" customHeight="1" x14ac:dyDescent="0.2">
      <c r="B32" t="s">
        <v>106</v>
      </c>
      <c r="C32" s="12">
        <v>81</v>
      </c>
      <c r="D32" s="8">
        <v>3.06</v>
      </c>
      <c r="E32" s="12">
        <v>35</v>
      </c>
      <c r="F32" s="8">
        <v>3.8</v>
      </c>
      <c r="G32" s="12">
        <v>46</v>
      </c>
      <c r="H32" s="8">
        <v>2.67</v>
      </c>
      <c r="I32" s="12">
        <v>0</v>
      </c>
    </row>
    <row r="33" spans="2:9" ht="15" customHeight="1" x14ac:dyDescent="0.2">
      <c r="B33" t="s">
        <v>128</v>
      </c>
      <c r="C33" s="12">
        <v>68</v>
      </c>
      <c r="D33" s="8">
        <v>2.57</v>
      </c>
      <c r="E33" s="12">
        <v>8</v>
      </c>
      <c r="F33" s="8">
        <v>0.87</v>
      </c>
      <c r="G33" s="12">
        <v>60</v>
      </c>
      <c r="H33" s="8">
        <v>3.48</v>
      </c>
      <c r="I33" s="12">
        <v>0</v>
      </c>
    </row>
    <row r="34" spans="2:9" ht="15" customHeight="1" x14ac:dyDescent="0.2">
      <c r="B34" t="s">
        <v>105</v>
      </c>
      <c r="C34" s="12">
        <v>65</v>
      </c>
      <c r="D34" s="8">
        <v>2.4500000000000002</v>
      </c>
      <c r="E34" s="12">
        <v>31</v>
      </c>
      <c r="F34" s="8">
        <v>3.37</v>
      </c>
      <c r="G34" s="12">
        <v>34</v>
      </c>
      <c r="H34" s="8">
        <v>1.97</v>
      </c>
      <c r="I34" s="12">
        <v>0</v>
      </c>
    </row>
    <row r="35" spans="2:9" ht="15" customHeight="1" x14ac:dyDescent="0.2">
      <c r="B35" t="s">
        <v>130</v>
      </c>
      <c r="C35" s="12">
        <v>61</v>
      </c>
      <c r="D35" s="8">
        <v>2.2999999999999998</v>
      </c>
      <c r="E35" s="12">
        <v>16</v>
      </c>
      <c r="F35" s="8">
        <v>1.74</v>
      </c>
      <c r="G35" s="12">
        <v>45</v>
      </c>
      <c r="H35" s="8">
        <v>2.61</v>
      </c>
      <c r="I35" s="12">
        <v>0</v>
      </c>
    </row>
    <row r="36" spans="2:9" ht="15" customHeight="1" x14ac:dyDescent="0.2">
      <c r="B36" t="s">
        <v>125</v>
      </c>
      <c r="C36" s="12">
        <v>57</v>
      </c>
      <c r="D36" s="8">
        <v>2.15</v>
      </c>
      <c r="E36" s="12">
        <v>15</v>
      </c>
      <c r="F36" s="8">
        <v>1.63</v>
      </c>
      <c r="G36" s="12">
        <v>42</v>
      </c>
      <c r="H36" s="8">
        <v>2.44</v>
      </c>
      <c r="I36" s="12">
        <v>0</v>
      </c>
    </row>
    <row r="37" spans="2:9" ht="15" customHeight="1" x14ac:dyDescent="0.2">
      <c r="B37" t="s">
        <v>101</v>
      </c>
      <c r="C37" s="12">
        <v>53</v>
      </c>
      <c r="D37" s="8">
        <v>2</v>
      </c>
      <c r="E37" s="12">
        <v>5</v>
      </c>
      <c r="F37" s="8">
        <v>0.54</v>
      </c>
      <c r="G37" s="12">
        <v>48</v>
      </c>
      <c r="H37" s="8">
        <v>2.79</v>
      </c>
      <c r="I37" s="12">
        <v>0</v>
      </c>
    </row>
    <row r="38" spans="2:9" ht="15" customHeight="1" x14ac:dyDescent="0.2">
      <c r="B38" t="s">
        <v>116</v>
      </c>
      <c r="C38" s="12">
        <v>53</v>
      </c>
      <c r="D38" s="8">
        <v>2</v>
      </c>
      <c r="E38" s="12">
        <v>20</v>
      </c>
      <c r="F38" s="8">
        <v>2.17</v>
      </c>
      <c r="G38" s="12">
        <v>33</v>
      </c>
      <c r="H38" s="8">
        <v>1.92</v>
      </c>
      <c r="I38" s="12">
        <v>0</v>
      </c>
    </row>
    <row r="39" spans="2:9" ht="15" customHeight="1" x14ac:dyDescent="0.2">
      <c r="B39" t="s">
        <v>104</v>
      </c>
      <c r="C39" s="12">
        <v>51</v>
      </c>
      <c r="D39" s="8">
        <v>1.92</v>
      </c>
      <c r="E39" s="12">
        <v>36</v>
      </c>
      <c r="F39" s="8">
        <v>3.91</v>
      </c>
      <c r="G39" s="12">
        <v>15</v>
      </c>
      <c r="H39" s="8">
        <v>0.87</v>
      </c>
      <c r="I39" s="12">
        <v>0</v>
      </c>
    </row>
    <row r="40" spans="2:9" ht="15" customHeight="1" x14ac:dyDescent="0.2">
      <c r="B40" t="s">
        <v>131</v>
      </c>
      <c r="C40" s="12">
        <v>48</v>
      </c>
      <c r="D40" s="8">
        <v>1.81</v>
      </c>
      <c r="E40" s="12">
        <v>6</v>
      </c>
      <c r="F40" s="8">
        <v>0.65</v>
      </c>
      <c r="G40" s="12">
        <v>42</v>
      </c>
      <c r="H40" s="8">
        <v>2.44</v>
      </c>
      <c r="I40" s="12">
        <v>0</v>
      </c>
    </row>
    <row r="41" spans="2:9" ht="15" customHeight="1" x14ac:dyDescent="0.2">
      <c r="B41" t="s">
        <v>115</v>
      </c>
      <c r="C41" s="12">
        <v>47</v>
      </c>
      <c r="D41" s="8">
        <v>1.77</v>
      </c>
      <c r="E41" s="12">
        <v>37</v>
      </c>
      <c r="F41" s="8">
        <v>4.0199999999999996</v>
      </c>
      <c r="G41" s="12">
        <v>10</v>
      </c>
      <c r="H41" s="8">
        <v>0.57999999999999996</v>
      </c>
      <c r="I41" s="12">
        <v>0</v>
      </c>
    </row>
    <row r="42" spans="2:9" ht="15" customHeight="1" x14ac:dyDescent="0.2">
      <c r="B42" t="s">
        <v>107</v>
      </c>
      <c r="C42" s="12">
        <v>46</v>
      </c>
      <c r="D42" s="8">
        <v>1.74</v>
      </c>
      <c r="E42" s="12">
        <v>3</v>
      </c>
      <c r="F42" s="8">
        <v>0.33</v>
      </c>
      <c r="G42" s="12">
        <v>43</v>
      </c>
      <c r="H42" s="8">
        <v>2.5</v>
      </c>
      <c r="I42" s="12">
        <v>0</v>
      </c>
    </row>
    <row r="43" spans="2:9" ht="15" customHeight="1" x14ac:dyDescent="0.2">
      <c r="B43" t="s">
        <v>117</v>
      </c>
      <c r="C43" s="12">
        <v>41</v>
      </c>
      <c r="D43" s="8">
        <v>1.55</v>
      </c>
      <c r="E43" s="12">
        <v>7</v>
      </c>
      <c r="F43" s="8">
        <v>0.76</v>
      </c>
      <c r="G43" s="12">
        <v>34</v>
      </c>
      <c r="H43" s="8">
        <v>1.97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200</v>
      </c>
      <c r="C47" s="12">
        <v>98</v>
      </c>
      <c r="D47" s="8">
        <v>3.7</v>
      </c>
      <c r="E47" s="12">
        <v>24</v>
      </c>
      <c r="F47" s="8">
        <v>2.61</v>
      </c>
      <c r="G47" s="12">
        <v>74</v>
      </c>
      <c r="H47" s="8">
        <v>4.29</v>
      </c>
      <c r="I47" s="12">
        <v>0</v>
      </c>
    </row>
    <row r="48" spans="2:9" ht="15" customHeight="1" x14ac:dyDescent="0.2">
      <c r="B48" t="s">
        <v>167</v>
      </c>
      <c r="C48" s="12">
        <v>98</v>
      </c>
      <c r="D48" s="8">
        <v>3.7</v>
      </c>
      <c r="E48" s="12">
        <v>62</v>
      </c>
      <c r="F48" s="8">
        <v>6.73</v>
      </c>
      <c r="G48" s="12">
        <v>35</v>
      </c>
      <c r="H48" s="8">
        <v>2.0299999999999998</v>
      </c>
      <c r="I48" s="12">
        <v>0</v>
      </c>
    </row>
    <row r="49" spans="2:9" ht="15" customHeight="1" x14ac:dyDescent="0.2">
      <c r="B49" t="s">
        <v>166</v>
      </c>
      <c r="C49" s="12">
        <v>62</v>
      </c>
      <c r="D49" s="8">
        <v>2.34</v>
      </c>
      <c r="E49" s="12">
        <v>27</v>
      </c>
      <c r="F49" s="8">
        <v>2.93</v>
      </c>
      <c r="G49" s="12">
        <v>35</v>
      </c>
      <c r="H49" s="8">
        <v>2.0299999999999998</v>
      </c>
      <c r="I49" s="12">
        <v>0</v>
      </c>
    </row>
    <row r="50" spans="2:9" ht="15" customHeight="1" x14ac:dyDescent="0.2">
      <c r="B50" t="s">
        <v>161</v>
      </c>
      <c r="C50" s="12">
        <v>59</v>
      </c>
      <c r="D50" s="8">
        <v>2.23</v>
      </c>
      <c r="E50" s="12">
        <v>9</v>
      </c>
      <c r="F50" s="8">
        <v>0.98</v>
      </c>
      <c r="G50" s="12">
        <v>50</v>
      </c>
      <c r="H50" s="8">
        <v>2.9</v>
      </c>
      <c r="I50" s="12">
        <v>0</v>
      </c>
    </row>
    <row r="51" spans="2:9" ht="15" customHeight="1" x14ac:dyDescent="0.2">
      <c r="B51" t="s">
        <v>173</v>
      </c>
      <c r="C51" s="12">
        <v>53</v>
      </c>
      <c r="D51" s="8">
        <v>2</v>
      </c>
      <c r="E51" s="12">
        <v>51</v>
      </c>
      <c r="F51" s="8">
        <v>5.54</v>
      </c>
      <c r="G51" s="12">
        <v>2</v>
      </c>
      <c r="H51" s="8">
        <v>0.12</v>
      </c>
      <c r="I51" s="12">
        <v>0</v>
      </c>
    </row>
    <row r="52" spans="2:9" ht="15" customHeight="1" x14ac:dyDescent="0.2">
      <c r="B52" t="s">
        <v>176</v>
      </c>
      <c r="C52" s="12">
        <v>53</v>
      </c>
      <c r="D52" s="8">
        <v>2</v>
      </c>
      <c r="E52" s="12">
        <v>20</v>
      </c>
      <c r="F52" s="8">
        <v>2.17</v>
      </c>
      <c r="G52" s="12">
        <v>33</v>
      </c>
      <c r="H52" s="8">
        <v>1.92</v>
      </c>
      <c r="I52" s="12">
        <v>0</v>
      </c>
    </row>
    <row r="53" spans="2:9" ht="15" customHeight="1" x14ac:dyDescent="0.2">
      <c r="B53" t="s">
        <v>160</v>
      </c>
      <c r="C53" s="12">
        <v>52</v>
      </c>
      <c r="D53" s="8">
        <v>1.96</v>
      </c>
      <c r="E53" s="12">
        <v>11</v>
      </c>
      <c r="F53" s="8">
        <v>1.19</v>
      </c>
      <c r="G53" s="12">
        <v>41</v>
      </c>
      <c r="H53" s="8">
        <v>2.38</v>
      </c>
      <c r="I53" s="12">
        <v>0</v>
      </c>
    </row>
    <row r="54" spans="2:9" ht="15" customHeight="1" x14ac:dyDescent="0.2">
      <c r="B54" t="s">
        <v>172</v>
      </c>
      <c r="C54" s="12">
        <v>52</v>
      </c>
      <c r="D54" s="8">
        <v>1.96</v>
      </c>
      <c r="E54" s="12">
        <v>48</v>
      </c>
      <c r="F54" s="8">
        <v>5.21</v>
      </c>
      <c r="G54" s="12">
        <v>4</v>
      </c>
      <c r="H54" s="8">
        <v>0.23</v>
      </c>
      <c r="I54" s="12">
        <v>0</v>
      </c>
    </row>
    <row r="55" spans="2:9" ht="15" customHeight="1" x14ac:dyDescent="0.2">
      <c r="B55" t="s">
        <v>197</v>
      </c>
      <c r="C55" s="12">
        <v>50</v>
      </c>
      <c r="D55" s="8">
        <v>1.89</v>
      </c>
      <c r="E55" s="12">
        <v>13</v>
      </c>
      <c r="F55" s="8">
        <v>1.41</v>
      </c>
      <c r="G55" s="12">
        <v>37</v>
      </c>
      <c r="H55" s="8">
        <v>2.15</v>
      </c>
      <c r="I55" s="12">
        <v>0</v>
      </c>
    </row>
    <row r="56" spans="2:9" ht="15" customHeight="1" x14ac:dyDescent="0.2">
      <c r="B56" t="s">
        <v>163</v>
      </c>
      <c r="C56" s="12">
        <v>45</v>
      </c>
      <c r="D56" s="8">
        <v>1.7</v>
      </c>
      <c r="E56" s="12">
        <v>19</v>
      </c>
      <c r="F56" s="8">
        <v>2.06</v>
      </c>
      <c r="G56" s="12">
        <v>26</v>
      </c>
      <c r="H56" s="8">
        <v>1.51</v>
      </c>
      <c r="I56" s="12">
        <v>0</v>
      </c>
    </row>
    <row r="57" spans="2:9" ht="15" customHeight="1" x14ac:dyDescent="0.2">
      <c r="B57" t="s">
        <v>170</v>
      </c>
      <c r="C57" s="12">
        <v>45</v>
      </c>
      <c r="D57" s="8">
        <v>1.7</v>
      </c>
      <c r="E57" s="12">
        <v>43</v>
      </c>
      <c r="F57" s="8">
        <v>4.67</v>
      </c>
      <c r="G57" s="12">
        <v>2</v>
      </c>
      <c r="H57" s="8">
        <v>0.12</v>
      </c>
      <c r="I57" s="12">
        <v>0</v>
      </c>
    </row>
    <row r="58" spans="2:9" ht="15" customHeight="1" x14ac:dyDescent="0.2">
      <c r="B58" t="s">
        <v>182</v>
      </c>
      <c r="C58" s="12">
        <v>44</v>
      </c>
      <c r="D58" s="8">
        <v>1.66</v>
      </c>
      <c r="E58" s="12">
        <v>6</v>
      </c>
      <c r="F58" s="8">
        <v>0.65</v>
      </c>
      <c r="G58" s="12">
        <v>38</v>
      </c>
      <c r="H58" s="8">
        <v>2.21</v>
      </c>
      <c r="I58" s="12">
        <v>0</v>
      </c>
    </row>
    <row r="59" spans="2:9" ht="15" customHeight="1" x14ac:dyDescent="0.2">
      <c r="B59" t="s">
        <v>214</v>
      </c>
      <c r="C59" s="12">
        <v>44</v>
      </c>
      <c r="D59" s="8">
        <v>1.66</v>
      </c>
      <c r="E59" s="12">
        <v>16</v>
      </c>
      <c r="F59" s="8">
        <v>1.74</v>
      </c>
      <c r="G59" s="12">
        <v>28</v>
      </c>
      <c r="H59" s="8">
        <v>1.63</v>
      </c>
      <c r="I59" s="12">
        <v>0</v>
      </c>
    </row>
    <row r="60" spans="2:9" ht="15" customHeight="1" x14ac:dyDescent="0.2">
      <c r="B60" t="s">
        <v>212</v>
      </c>
      <c r="C60" s="12">
        <v>40</v>
      </c>
      <c r="D60" s="8">
        <v>1.51</v>
      </c>
      <c r="E60" s="12">
        <v>13</v>
      </c>
      <c r="F60" s="8">
        <v>1.41</v>
      </c>
      <c r="G60" s="12">
        <v>27</v>
      </c>
      <c r="H60" s="8">
        <v>1.57</v>
      </c>
      <c r="I60" s="12">
        <v>0</v>
      </c>
    </row>
    <row r="61" spans="2:9" ht="15" customHeight="1" x14ac:dyDescent="0.2">
      <c r="B61" t="s">
        <v>213</v>
      </c>
      <c r="C61" s="12">
        <v>40</v>
      </c>
      <c r="D61" s="8">
        <v>1.51</v>
      </c>
      <c r="E61" s="12">
        <v>11</v>
      </c>
      <c r="F61" s="8">
        <v>1.19</v>
      </c>
      <c r="G61" s="12">
        <v>29</v>
      </c>
      <c r="H61" s="8">
        <v>1.68</v>
      </c>
      <c r="I61" s="12">
        <v>0</v>
      </c>
    </row>
    <row r="62" spans="2:9" ht="15" customHeight="1" x14ac:dyDescent="0.2">
      <c r="B62" t="s">
        <v>210</v>
      </c>
      <c r="C62" s="12">
        <v>37</v>
      </c>
      <c r="D62" s="8">
        <v>1.4</v>
      </c>
      <c r="E62" s="12">
        <v>11</v>
      </c>
      <c r="F62" s="8">
        <v>1.19</v>
      </c>
      <c r="G62" s="12">
        <v>26</v>
      </c>
      <c r="H62" s="8">
        <v>1.51</v>
      </c>
      <c r="I62" s="12">
        <v>0</v>
      </c>
    </row>
    <row r="63" spans="2:9" ht="15" customHeight="1" x14ac:dyDescent="0.2">
      <c r="B63" t="s">
        <v>177</v>
      </c>
      <c r="C63" s="12">
        <v>35</v>
      </c>
      <c r="D63" s="8">
        <v>1.32</v>
      </c>
      <c r="E63" s="12">
        <v>6</v>
      </c>
      <c r="F63" s="8">
        <v>0.65</v>
      </c>
      <c r="G63" s="12">
        <v>29</v>
      </c>
      <c r="H63" s="8">
        <v>1.68</v>
      </c>
      <c r="I63" s="12">
        <v>0</v>
      </c>
    </row>
    <row r="64" spans="2:9" ht="15" customHeight="1" x14ac:dyDescent="0.2">
      <c r="B64" t="s">
        <v>211</v>
      </c>
      <c r="C64" s="12">
        <v>35</v>
      </c>
      <c r="D64" s="8">
        <v>1.32</v>
      </c>
      <c r="E64" s="12">
        <v>5</v>
      </c>
      <c r="F64" s="8">
        <v>0.54</v>
      </c>
      <c r="G64" s="12">
        <v>30</v>
      </c>
      <c r="H64" s="8">
        <v>1.74</v>
      </c>
      <c r="I64" s="12">
        <v>0</v>
      </c>
    </row>
    <row r="65" spans="2:9" ht="15" customHeight="1" x14ac:dyDescent="0.2">
      <c r="B65" t="s">
        <v>157</v>
      </c>
      <c r="C65" s="12">
        <v>34</v>
      </c>
      <c r="D65" s="8">
        <v>1.28</v>
      </c>
      <c r="E65" s="12">
        <v>1</v>
      </c>
      <c r="F65" s="8">
        <v>0.11</v>
      </c>
      <c r="G65" s="12">
        <v>33</v>
      </c>
      <c r="H65" s="8">
        <v>1.92</v>
      </c>
      <c r="I65" s="12">
        <v>0</v>
      </c>
    </row>
    <row r="66" spans="2:9" ht="15" customHeight="1" x14ac:dyDescent="0.2">
      <c r="B66" t="s">
        <v>158</v>
      </c>
      <c r="C66" s="12">
        <v>31</v>
      </c>
      <c r="D66" s="8">
        <v>1.17</v>
      </c>
      <c r="E66" s="12">
        <v>4</v>
      </c>
      <c r="F66" s="8">
        <v>0.43</v>
      </c>
      <c r="G66" s="12">
        <v>27</v>
      </c>
      <c r="H66" s="8">
        <v>1.57</v>
      </c>
      <c r="I66" s="12">
        <v>0</v>
      </c>
    </row>
    <row r="67" spans="2:9" ht="15" customHeight="1" x14ac:dyDescent="0.2">
      <c r="B67" t="s">
        <v>174</v>
      </c>
      <c r="C67" s="12">
        <v>31</v>
      </c>
      <c r="D67" s="8">
        <v>1.17</v>
      </c>
      <c r="E67" s="12">
        <v>19</v>
      </c>
      <c r="F67" s="8">
        <v>2.06</v>
      </c>
      <c r="G67" s="12">
        <v>12</v>
      </c>
      <c r="H67" s="8">
        <v>0.7</v>
      </c>
      <c r="I67" s="12">
        <v>0</v>
      </c>
    </row>
    <row r="69" spans="2:9" ht="15" customHeight="1" x14ac:dyDescent="0.2">
      <c r="B69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81DB6-8A1B-413D-AF11-22F1D69E3153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313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247</v>
      </c>
      <c r="D6" s="8">
        <v>14.87</v>
      </c>
      <c r="E6" s="12">
        <v>51</v>
      </c>
      <c r="F6" s="8">
        <v>6.95</v>
      </c>
      <c r="G6" s="12">
        <v>196</v>
      </c>
      <c r="H6" s="8">
        <v>21.26</v>
      </c>
      <c r="I6" s="12">
        <v>0</v>
      </c>
    </row>
    <row r="7" spans="2:9" ht="15" customHeight="1" x14ac:dyDescent="0.2">
      <c r="B7" t="s">
        <v>76</v>
      </c>
      <c r="C7" s="12">
        <v>106</v>
      </c>
      <c r="D7" s="8">
        <v>6.38</v>
      </c>
      <c r="E7" s="12">
        <v>28</v>
      </c>
      <c r="F7" s="8">
        <v>3.81</v>
      </c>
      <c r="G7" s="12">
        <v>78</v>
      </c>
      <c r="H7" s="8">
        <v>8.4600000000000009</v>
      </c>
      <c r="I7" s="12">
        <v>0</v>
      </c>
    </row>
    <row r="8" spans="2:9" ht="15" customHeight="1" x14ac:dyDescent="0.2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78</v>
      </c>
      <c r="C9" s="12">
        <v>20</v>
      </c>
      <c r="D9" s="8">
        <v>1.2</v>
      </c>
      <c r="E9" s="12">
        <v>1</v>
      </c>
      <c r="F9" s="8">
        <v>0.14000000000000001</v>
      </c>
      <c r="G9" s="12">
        <v>19</v>
      </c>
      <c r="H9" s="8">
        <v>2.06</v>
      </c>
      <c r="I9" s="12">
        <v>0</v>
      </c>
    </row>
    <row r="10" spans="2:9" ht="15" customHeight="1" x14ac:dyDescent="0.2">
      <c r="B10" t="s">
        <v>79</v>
      </c>
      <c r="C10" s="12">
        <v>16</v>
      </c>
      <c r="D10" s="8">
        <v>0.96</v>
      </c>
      <c r="E10" s="12">
        <v>3</v>
      </c>
      <c r="F10" s="8">
        <v>0.41</v>
      </c>
      <c r="G10" s="12">
        <v>13</v>
      </c>
      <c r="H10" s="8">
        <v>1.41</v>
      </c>
      <c r="I10" s="12">
        <v>0</v>
      </c>
    </row>
    <row r="11" spans="2:9" ht="15" customHeight="1" x14ac:dyDescent="0.2">
      <c r="B11" t="s">
        <v>80</v>
      </c>
      <c r="C11" s="12">
        <v>293</v>
      </c>
      <c r="D11" s="8">
        <v>17.64</v>
      </c>
      <c r="E11" s="12">
        <v>109</v>
      </c>
      <c r="F11" s="8">
        <v>14.85</v>
      </c>
      <c r="G11" s="12">
        <v>184</v>
      </c>
      <c r="H11" s="8">
        <v>19.96</v>
      </c>
      <c r="I11" s="12">
        <v>0</v>
      </c>
    </row>
    <row r="12" spans="2:9" ht="15" customHeight="1" x14ac:dyDescent="0.2">
      <c r="B12" t="s">
        <v>81</v>
      </c>
      <c r="C12" s="12">
        <v>8</v>
      </c>
      <c r="D12" s="8">
        <v>0.48</v>
      </c>
      <c r="E12" s="12">
        <v>0</v>
      </c>
      <c r="F12" s="8">
        <v>0</v>
      </c>
      <c r="G12" s="12">
        <v>8</v>
      </c>
      <c r="H12" s="8">
        <v>0.87</v>
      </c>
      <c r="I12" s="12">
        <v>0</v>
      </c>
    </row>
    <row r="13" spans="2:9" ht="15" customHeight="1" x14ac:dyDescent="0.2">
      <c r="B13" t="s">
        <v>82</v>
      </c>
      <c r="C13" s="12">
        <v>261</v>
      </c>
      <c r="D13" s="8">
        <v>15.71</v>
      </c>
      <c r="E13" s="12">
        <v>69</v>
      </c>
      <c r="F13" s="8">
        <v>9.4</v>
      </c>
      <c r="G13" s="12">
        <v>192</v>
      </c>
      <c r="H13" s="8">
        <v>20.82</v>
      </c>
      <c r="I13" s="12">
        <v>0</v>
      </c>
    </row>
    <row r="14" spans="2:9" ht="15" customHeight="1" x14ac:dyDescent="0.2">
      <c r="B14" t="s">
        <v>83</v>
      </c>
      <c r="C14" s="12">
        <v>75</v>
      </c>
      <c r="D14" s="8">
        <v>4.5199999999999996</v>
      </c>
      <c r="E14" s="12">
        <v>28</v>
      </c>
      <c r="F14" s="8">
        <v>3.81</v>
      </c>
      <c r="G14" s="12">
        <v>47</v>
      </c>
      <c r="H14" s="8">
        <v>5.0999999999999996</v>
      </c>
      <c r="I14" s="12">
        <v>0</v>
      </c>
    </row>
    <row r="15" spans="2:9" ht="15" customHeight="1" x14ac:dyDescent="0.2">
      <c r="B15" t="s">
        <v>84</v>
      </c>
      <c r="C15" s="12">
        <v>193</v>
      </c>
      <c r="D15" s="8">
        <v>11.62</v>
      </c>
      <c r="E15" s="12">
        <v>154</v>
      </c>
      <c r="F15" s="8">
        <v>20.98</v>
      </c>
      <c r="G15" s="12">
        <v>39</v>
      </c>
      <c r="H15" s="8">
        <v>4.2300000000000004</v>
      </c>
      <c r="I15" s="12">
        <v>0</v>
      </c>
    </row>
    <row r="16" spans="2:9" ht="15" customHeight="1" x14ac:dyDescent="0.2">
      <c r="B16" t="s">
        <v>85</v>
      </c>
      <c r="C16" s="12">
        <v>246</v>
      </c>
      <c r="D16" s="8">
        <v>14.81</v>
      </c>
      <c r="E16" s="12">
        <v>178</v>
      </c>
      <c r="F16" s="8">
        <v>24.25</v>
      </c>
      <c r="G16" s="12">
        <v>68</v>
      </c>
      <c r="H16" s="8">
        <v>7.38</v>
      </c>
      <c r="I16" s="12">
        <v>0</v>
      </c>
    </row>
    <row r="17" spans="2:9" ht="15" customHeight="1" x14ac:dyDescent="0.2">
      <c r="B17" t="s">
        <v>86</v>
      </c>
      <c r="C17" s="12">
        <v>64</v>
      </c>
      <c r="D17" s="8">
        <v>3.85</v>
      </c>
      <c r="E17" s="12">
        <v>44</v>
      </c>
      <c r="F17" s="8">
        <v>5.99</v>
      </c>
      <c r="G17" s="12">
        <v>17</v>
      </c>
      <c r="H17" s="8">
        <v>1.84</v>
      </c>
      <c r="I17" s="12">
        <v>0</v>
      </c>
    </row>
    <row r="18" spans="2:9" ht="15" customHeight="1" x14ac:dyDescent="0.2">
      <c r="B18" t="s">
        <v>87</v>
      </c>
      <c r="C18" s="12">
        <v>80</v>
      </c>
      <c r="D18" s="8">
        <v>4.82</v>
      </c>
      <c r="E18" s="12">
        <v>55</v>
      </c>
      <c r="F18" s="8">
        <v>7.49</v>
      </c>
      <c r="G18" s="12">
        <v>25</v>
      </c>
      <c r="H18" s="8">
        <v>2.71</v>
      </c>
      <c r="I18" s="12">
        <v>0</v>
      </c>
    </row>
    <row r="19" spans="2:9" ht="15" customHeight="1" x14ac:dyDescent="0.2">
      <c r="B19" t="s">
        <v>88</v>
      </c>
      <c r="C19" s="12">
        <v>52</v>
      </c>
      <c r="D19" s="8">
        <v>3.13</v>
      </c>
      <c r="E19" s="12">
        <v>14</v>
      </c>
      <c r="F19" s="8">
        <v>1.91</v>
      </c>
      <c r="G19" s="12">
        <v>36</v>
      </c>
      <c r="H19" s="8">
        <v>3.9</v>
      </c>
      <c r="I19" s="12">
        <v>0</v>
      </c>
    </row>
    <row r="20" spans="2:9" ht="15" customHeight="1" x14ac:dyDescent="0.2">
      <c r="B20" s="9" t="s">
        <v>269</v>
      </c>
      <c r="C20" s="12">
        <f>SUM(LTBL_11235[総数／事業所数])</f>
        <v>1661</v>
      </c>
      <c r="E20" s="12">
        <f>SUBTOTAL(109,LTBL_11235[個人／事業所数])</f>
        <v>734</v>
      </c>
      <c r="G20" s="12">
        <f>SUBTOTAL(109,LTBL_11235[法人／事業所数])</f>
        <v>922</v>
      </c>
      <c r="I20" s="12">
        <f>SUBTOTAL(109,LTBL_11235[法人以外の団体／事業所数])</f>
        <v>0</v>
      </c>
    </row>
    <row r="21" spans="2:9" ht="15" customHeight="1" x14ac:dyDescent="0.2">
      <c r="E21" s="11">
        <f>LTBL_11235[[#Totals],[個人／事業所数]]/LTBL_11235[[#Totals],[総数／事業所数]]</f>
        <v>0.44190246839253461</v>
      </c>
      <c r="G21" s="11">
        <f>LTBL_11235[[#Totals],[法人／事業所数]]/LTBL_11235[[#Totals],[総数／事業所数]]</f>
        <v>0.55508729680915114</v>
      </c>
      <c r="I21" s="11">
        <f>LTBL_11235[[#Totals],[法人以外の団体／事業所数]]/LTBL_11235[[#Totals],[総数／事業所数]]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108</v>
      </c>
      <c r="C24" s="12">
        <v>212</v>
      </c>
      <c r="D24" s="8">
        <v>12.76</v>
      </c>
      <c r="E24" s="12">
        <v>65</v>
      </c>
      <c r="F24" s="8">
        <v>8.86</v>
      </c>
      <c r="G24" s="12">
        <v>147</v>
      </c>
      <c r="H24" s="8">
        <v>15.94</v>
      </c>
      <c r="I24" s="12">
        <v>0</v>
      </c>
    </row>
    <row r="25" spans="2:9" ht="15" customHeight="1" x14ac:dyDescent="0.2">
      <c r="B25" t="s">
        <v>112</v>
      </c>
      <c r="C25" s="12">
        <v>206</v>
      </c>
      <c r="D25" s="8">
        <v>12.4</v>
      </c>
      <c r="E25" s="12">
        <v>158</v>
      </c>
      <c r="F25" s="8">
        <v>21.53</v>
      </c>
      <c r="G25" s="12">
        <v>48</v>
      </c>
      <c r="H25" s="8">
        <v>5.21</v>
      </c>
      <c r="I25" s="12">
        <v>0</v>
      </c>
    </row>
    <row r="26" spans="2:9" ht="15" customHeight="1" x14ac:dyDescent="0.2">
      <c r="B26" t="s">
        <v>111</v>
      </c>
      <c r="C26" s="12">
        <v>189</v>
      </c>
      <c r="D26" s="8">
        <v>11.38</v>
      </c>
      <c r="E26" s="12">
        <v>153</v>
      </c>
      <c r="F26" s="8">
        <v>20.84</v>
      </c>
      <c r="G26" s="12">
        <v>36</v>
      </c>
      <c r="H26" s="8">
        <v>3.9</v>
      </c>
      <c r="I26" s="12">
        <v>0</v>
      </c>
    </row>
    <row r="27" spans="2:9" ht="15" customHeight="1" x14ac:dyDescent="0.2">
      <c r="B27" t="s">
        <v>98</v>
      </c>
      <c r="C27" s="12">
        <v>104</v>
      </c>
      <c r="D27" s="8">
        <v>6.26</v>
      </c>
      <c r="E27" s="12">
        <v>31</v>
      </c>
      <c r="F27" s="8">
        <v>4.22</v>
      </c>
      <c r="G27" s="12">
        <v>73</v>
      </c>
      <c r="H27" s="8">
        <v>7.92</v>
      </c>
      <c r="I27" s="12">
        <v>0</v>
      </c>
    </row>
    <row r="28" spans="2:9" ht="15" customHeight="1" x14ac:dyDescent="0.2">
      <c r="B28" t="s">
        <v>97</v>
      </c>
      <c r="C28" s="12">
        <v>73</v>
      </c>
      <c r="D28" s="8">
        <v>4.3899999999999997</v>
      </c>
      <c r="E28" s="12">
        <v>12</v>
      </c>
      <c r="F28" s="8">
        <v>1.63</v>
      </c>
      <c r="G28" s="12">
        <v>61</v>
      </c>
      <c r="H28" s="8">
        <v>6.62</v>
      </c>
      <c r="I28" s="12">
        <v>0</v>
      </c>
    </row>
    <row r="29" spans="2:9" ht="15" customHeight="1" x14ac:dyDescent="0.2">
      <c r="B29" t="s">
        <v>106</v>
      </c>
      <c r="C29" s="12">
        <v>72</v>
      </c>
      <c r="D29" s="8">
        <v>4.33</v>
      </c>
      <c r="E29" s="12">
        <v>24</v>
      </c>
      <c r="F29" s="8">
        <v>3.27</v>
      </c>
      <c r="G29" s="12">
        <v>48</v>
      </c>
      <c r="H29" s="8">
        <v>5.21</v>
      </c>
      <c r="I29" s="12">
        <v>0</v>
      </c>
    </row>
    <row r="30" spans="2:9" ht="15" customHeight="1" x14ac:dyDescent="0.2">
      <c r="B30" t="s">
        <v>99</v>
      </c>
      <c r="C30" s="12">
        <v>70</v>
      </c>
      <c r="D30" s="8">
        <v>4.21</v>
      </c>
      <c r="E30" s="12">
        <v>8</v>
      </c>
      <c r="F30" s="8">
        <v>1.0900000000000001</v>
      </c>
      <c r="G30" s="12">
        <v>62</v>
      </c>
      <c r="H30" s="8">
        <v>6.72</v>
      </c>
      <c r="I30" s="12">
        <v>0</v>
      </c>
    </row>
    <row r="31" spans="2:9" ht="15" customHeight="1" x14ac:dyDescent="0.2">
      <c r="B31" t="s">
        <v>115</v>
      </c>
      <c r="C31" s="12">
        <v>65</v>
      </c>
      <c r="D31" s="8">
        <v>3.91</v>
      </c>
      <c r="E31" s="12">
        <v>55</v>
      </c>
      <c r="F31" s="8">
        <v>7.49</v>
      </c>
      <c r="G31" s="12">
        <v>10</v>
      </c>
      <c r="H31" s="8">
        <v>1.08</v>
      </c>
      <c r="I31" s="12">
        <v>0</v>
      </c>
    </row>
    <row r="32" spans="2:9" ht="15" customHeight="1" x14ac:dyDescent="0.2">
      <c r="B32" t="s">
        <v>114</v>
      </c>
      <c r="C32" s="12">
        <v>64</v>
      </c>
      <c r="D32" s="8">
        <v>3.85</v>
      </c>
      <c r="E32" s="12">
        <v>44</v>
      </c>
      <c r="F32" s="8">
        <v>5.99</v>
      </c>
      <c r="G32" s="12">
        <v>17</v>
      </c>
      <c r="H32" s="8">
        <v>1.84</v>
      </c>
      <c r="I32" s="12">
        <v>0</v>
      </c>
    </row>
    <row r="33" spans="2:9" ht="15" customHeight="1" x14ac:dyDescent="0.2">
      <c r="B33" t="s">
        <v>104</v>
      </c>
      <c r="C33" s="12">
        <v>60</v>
      </c>
      <c r="D33" s="8">
        <v>3.61</v>
      </c>
      <c r="E33" s="12">
        <v>37</v>
      </c>
      <c r="F33" s="8">
        <v>5.04</v>
      </c>
      <c r="G33" s="12">
        <v>23</v>
      </c>
      <c r="H33" s="8">
        <v>2.4900000000000002</v>
      </c>
      <c r="I33" s="12">
        <v>0</v>
      </c>
    </row>
    <row r="34" spans="2:9" ht="15" customHeight="1" x14ac:dyDescent="0.2">
      <c r="B34" t="s">
        <v>103</v>
      </c>
      <c r="C34" s="12">
        <v>51</v>
      </c>
      <c r="D34" s="8">
        <v>3.07</v>
      </c>
      <c r="E34" s="12">
        <v>18</v>
      </c>
      <c r="F34" s="8">
        <v>2.4500000000000002</v>
      </c>
      <c r="G34" s="12">
        <v>33</v>
      </c>
      <c r="H34" s="8">
        <v>3.58</v>
      </c>
      <c r="I34" s="12">
        <v>0</v>
      </c>
    </row>
    <row r="35" spans="2:9" ht="15" customHeight="1" x14ac:dyDescent="0.2">
      <c r="B35" t="s">
        <v>107</v>
      </c>
      <c r="C35" s="12">
        <v>47</v>
      </c>
      <c r="D35" s="8">
        <v>2.83</v>
      </c>
      <c r="E35" s="12">
        <v>4</v>
      </c>
      <c r="F35" s="8">
        <v>0.54</v>
      </c>
      <c r="G35" s="12">
        <v>43</v>
      </c>
      <c r="H35" s="8">
        <v>4.66</v>
      </c>
      <c r="I35" s="12">
        <v>0</v>
      </c>
    </row>
    <row r="36" spans="2:9" ht="15" customHeight="1" x14ac:dyDescent="0.2">
      <c r="B36" t="s">
        <v>109</v>
      </c>
      <c r="C36" s="12">
        <v>43</v>
      </c>
      <c r="D36" s="8">
        <v>2.59</v>
      </c>
      <c r="E36" s="12">
        <v>20</v>
      </c>
      <c r="F36" s="8">
        <v>2.72</v>
      </c>
      <c r="G36" s="12">
        <v>23</v>
      </c>
      <c r="H36" s="8">
        <v>2.4900000000000002</v>
      </c>
      <c r="I36" s="12">
        <v>0</v>
      </c>
    </row>
    <row r="37" spans="2:9" ht="15" customHeight="1" x14ac:dyDescent="0.2">
      <c r="B37" t="s">
        <v>105</v>
      </c>
      <c r="C37" s="12">
        <v>40</v>
      </c>
      <c r="D37" s="8">
        <v>2.41</v>
      </c>
      <c r="E37" s="12">
        <v>19</v>
      </c>
      <c r="F37" s="8">
        <v>2.59</v>
      </c>
      <c r="G37" s="12">
        <v>21</v>
      </c>
      <c r="H37" s="8">
        <v>2.2799999999999998</v>
      </c>
      <c r="I37" s="12">
        <v>0</v>
      </c>
    </row>
    <row r="38" spans="2:9" ht="15" customHeight="1" x14ac:dyDescent="0.2">
      <c r="B38" t="s">
        <v>113</v>
      </c>
      <c r="C38" s="12">
        <v>31</v>
      </c>
      <c r="D38" s="8">
        <v>1.87</v>
      </c>
      <c r="E38" s="12">
        <v>16</v>
      </c>
      <c r="F38" s="8">
        <v>2.1800000000000002</v>
      </c>
      <c r="G38" s="12">
        <v>15</v>
      </c>
      <c r="H38" s="8">
        <v>1.63</v>
      </c>
      <c r="I38" s="12">
        <v>0</v>
      </c>
    </row>
    <row r="39" spans="2:9" ht="15" customHeight="1" x14ac:dyDescent="0.2">
      <c r="B39" t="s">
        <v>110</v>
      </c>
      <c r="C39" s="12">
        <v>26</v>
      </c>
      <c r="D39" s="8">
        <v>1.57</v>
      </c>
      <c r="E39" s="12">
        <v>7</v>
      </c>
      <c r="F39" s="8">
        <v>0.95</v>
      </c>
      <c r="G39" s="12">
        <v>19</v>
      </c>
      <c r="H39" s="8">
        <v>2.06</v>
      </c>
      <c r="I39" s="12">
        <v>0</v>
      </c>
    </row>
    <row r="40" spans="2:9" ht="15" customHeight="1" x14ac:dyDescent="0.2">
      <c r="B40" t="s">
        <v>119</v>
      </c>
      <c r="C40" s="12">
        <v>21</v>
      </c>
      <c r="D40" s="8">
        <v>1.26</v>
      </c>
      <c r="E40" s="12">
        <v>3</v>
      </c>
      <c r="F40" s="8">
        <v>0.41</v>
      </c>
      <c r="G40" s="12">
        <v>18</v>
      </c>
      <c r="H40" s="8">
        <v>1.95</v>
      </c>
      <c r="I40" s="12">
        <v>0</v>
      </c>
    </row>
    <row r="41" spans="2:9" ht="15" customHeight="1" x14ac:dyDescent="0.2">
      <c r="B41" t="s">
        <v>116</v>
      </c>
      <c r="C41" s="12">
        <v>17</v>
      </c>
      <c r="D41" s="8">
        <v>1.02</v>
      </c>
      <c r="E41" s="12">
        <v>7</v>
      </c>
      <c r="F41" s="8">
        <v>0.95</v>
      </c>
      <c r="G41" s="12">
        <v>10</v>
      </c>
      <c r="H41" s="8">
        <v>1.08</v>
      </c>
      <c r="I41" s="12">
        <v>0</v>
      </c>
    </row>
    <row r="42" spans="2:9" ht="15" customHeight="1" x14ac:dyDescent="0.2">
      <c r="B42" t="s">
        <v>102</v>
      </c>
      <c r="C42" s="12">
        <v>16</v>
      </c>
      <c r="D42" s="8">
        <v>0.96</v>
      </c>
      <c r="E42" s="12">
        <v>2</v>
      </c>
      <c r="F42" s="8">
        <v>0.27</v>
      </c>
      <c r="G42" s="12">
        <v>14</v>
      </c>
      <c r="H42" s="8">
        <v>1.52</v>
      </c>
      <c r="I42" s="12">
        <v>0</v>
      </c>
    </row>
    <row r="43" spans="2:9" ht="15" customHeight="1" x14ac:dyDescent="0.2">
      <c r="B43" t="s">
        <v>117</v>
      </c>
      <c r="C43" s="12">
        <v>16</v>
      </c>
      <c r="D43" s="8">
        <v>0.96</v>
      </c>
      <c r="E43" s="12">
        <v>2</v>
      </c>
      <c r="F43" s="8">
        <v>0.27</v>
      </c>
      <c r="G43" s="12">
        <v>14</v>
      </c>
      <c r="H43" s="8">
        <v>1.52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173</v>
      </c>
      <c r="C47" s="12">
        <v>120</v>
      </c>
      <c r="D47" s="8">
        <v>7.22</v>
      </c>
      <c r="E47" s="12">
        <v>90</v>
      </c>
      <c r="F47" s="8">
        <v>12.26</v>
      </c>
      <c r="G47" s="12">
        <v>30</v>
      </c>
      <c r="H47" s="8">
        <v>3.25</v>
      </c>
      <c r="I47" s="12">
        <v>0</v>
      </c>
    </row>
    <row r="48" spans="2:9" ht="15" customHeight="1" x14ac:dyDescent="0.2">
      <c r="B48" t="s">
        <v>167</v>
      </c>
      <c r="C48" s="12">
        <v>107</v>
      </c>
      <c r="D48" s="8">
        <v>6.44</v>
      </c>
      <c r="E48" s="12">
        <v>54</v>
      </c>
      <c r="F48" s="8">
        <v>7.36</v>
      </c>
      <c r="G48" s="12">
        <v>53</v>
      </c>
      <c r="H48" s="8">
        <v>5.75</v>
      </c>
      <c r="I48" s="12">
        <v>0</v>
      </c>
    </row>
    <row r="49" spans="2:9" ht="15" customHeight="1" x14ac:dyDescent="0.2">
      <c r="B49" t="s">
        <v>170</v>
      </c>
      <c r="C49" s="12">
        <v>72</v>
      </c>
      <c r="D49" s="8">
        <v>4.33</v>
      </c>
      <c r="E49" s="12">
        <v>62</v>
      </c>
      <c r="F49" s="8">
        <v>8.4499999999999993</v>
      </c>
      <c r="G49" s="12">
        <v>10</v>
      </c>
      <c r="H49" s="8">
        <v>1.08</v>
      </c>
      <c r="I49" s="12">
        <v>0</v>
      </c>
    </row>
    <row r="50" spans="2:9" ht="15" customHeight="1" x14ac:dyDescent="0.2">
      <c r="B50" t="s">
        <v>169</v>
      </c>
      <c r="C50" s="12">
        <v>65</v>
      </c>
      <c r="D50" s="8">
        <v>3.91</v>
      </c>
      <c r="E50" s="12">
        <v>47</v>
      </c>
      <c r="F50" s="8">
        <v>6.4</v>
      </c>
      <c r="G50" s="12">
        <v>18</v>
      </c>
      <c r="H50" s="8">
        <v>1.95</v>
      </c>
      <c r="I50" s="12">
        <v>0</v>
      </c>
    </row>
    <row r="51" spans="2:9" ht="15" customHeight="1" x14ac:dyDescent="0.2">
      <c r="B51" t="s">
        <v>168</v>
      </c>
      <c r="C51" s="12">
        <v>54</v>
      </c>
      <c r="D51" s="8">
        <v>3.25</v>
      </c>
      <c r="E51" s="12">
        <v>2</v>
      </c>
      <c r="F51" s="8">
        <v>0.27</v>
      </c>
      <c r="G51" s="12">
        <v>52</v>
      </c>
      <c r="H51" s="8">
        <v>5.64</v>
      </c>
      <c r="I51" s="12">
        <v>0</v>
      </c>
    </row>
    <row r="52" spans="2:9" ht="15" customHeight="1" x14ac:dyDescent="0.2">
      <c r="B52" t="s">
        <v>172</v>
      </c>
      <c r="C52" s="12">
        <v>51</v>
      </c>
      <c r="D52" s="8">
        <v>3.07</v>
      </c>
      <c r="E52" s="12">
        <v>48</v>
      </c>
      <c r="F52" s="8">
        <v>6.54</v>
      </c>
      <c r="G52" s="12">
        <v>3</v>
      </c>
      <c r="H52" s="8">
        <v>0.33</v>
      </c>
      <c r="I52" s="12">
        <v>0</v>
      </c>
    </row>
    <row r="53" spans="2:9" ht="15" customHeight="1" x14ac:dyDescent="0.2">
      <c r="B53" t="s">
        <v>175</v>
      </c>
      <c r="C53" s="12">
        <v>51</v>
      </c>
      <c r="D53" s="8">
        <v>3.07</v>
      </c>
      <c r="E53" s="12">
        <v>45</v>
      </c>
      <c r="F53" s="8">
        <v>6.13</v>
      </c>
      <c r="G53" s="12">
        <v>6</v>
      </c>
      <c r="H53" s="8">
        <v>0.65</v>
      </c>
      <c r="I53" s="12">
        <v>0</v>
      </c>
    </row>
    <row r="54" spans="2:9" ht="15" customHeight="1" x14ac:dyDescent="0.2">
      <c r="B54" t="s">
        <v>174</v>
      </c>
      <c r="C54" s="12">
        <v>40</v>
      </c>
      <c r="D54" s="8">
        <v>2.41</v>
      </c>
      <c r="E54" s="12">
        <v>32</v>
      </c>
      <c r="F54" s="8">
        <v>4.3600000000000003</v>
      </c>
      <c r="G54" s="12">
        <v>8</v>
      </c>
      <c r="H54" s="8">
        <v>0.87</v>
      </c>
      <c r="I54" s="12">
        <v>0</v>
      </c>
    </row>
    <row r="55" spans="2:9" ht="15" customHeight="1" x14ac:dyDescent="0.2">
      <c r="B55" t="s">
        <v>166</v>
      </c>
      <c r="C55" s="12">
        <v>36</v>
      </c>
      <c r="D55" s="8">
        <v>2.17</v>
      </c>
      <c r="E55" s="12">
        <v>2</v>
      </c>
      <c r="F55" s="8">
        <v>0.27</v>
      </c>
      <c r="G55" s="12">
        <v>34</v>
      </c>
      <c r="H55" s="8">
        <v>3.69</v>
      </c>
      <c r="I55" s="12">
        <v>0</v>
      </c>
    </row>
    <row r="56" spans="2:9" ht="15" customHeight="1" x14ac:dyDescent="0.2">
      <c r="B56" t="s">
        <v>165</v>
      </c>
      <c r="C56" s="12">
        <v>33</v>
      </c>
      <c r="D56" s="8">
        <v>1.99</v>
      </c>
      <c r="E56" s="12">
        <v>4</v>
      </c>
      <c r="F56" s="8">
        <v>0.54</v>
      </c>
      <c r="G56" s="12">
        <v>29</v>
      </c>
      <c r="H56" s="8">
        <v>3.15</v>
      </c>
      <c r="I56" s="12">
        <v>0</v>
      </c>
    </row>
    <row r="57" spans="2:9" ht="15" customHeight="1" x14ac:dyDescent="0.2">
      <c r="B57" t="s">
        <v>160</v>
      </c>
      <c r="C57" s="12">
        <v>28</v>
      </c>
      <c r="D57" s="8">
        <v>1.69</v>
      </c>
      <c r="E57" s="12">
        <v>6</v>
      </c>
      <c r="F57" s="8">
        <v>0.82</v>
      </c>
      <c r="G57" s="12">
        <v>22</v>
      </c>
      <c r="H57" s="8">
        <v>2.39</v>
      </c>
      <c r="I57" s="12">
        <v>0</v>
      </c>
    </row>
    <row r="58" spans="2:9" ht="15" customHeight="1" x14ac:dyDescent="0.2">
      <c r="B58" t="s">
        <v>161</v>
      </c>
      <c r="C58" s="12">
        <v>28</v>
      </c>
      <c r="D58" s="8">
        <v>1.69</v>
      </c>
      <c r="E58" s="12">
        <v>2</v>
      </c>
      <c r="F58" s="8">
        <v>0.27</v>
      </c>
      <c r="G58" s="12">
        <v>26</v>
      </c>
      <c r="H58" s="8">
        <v>2.82</v>
      </c>
      <c r="I58" s="12">
        <v>0</v>
      </c>
    </row>
    <row r="59" spans="2:9" ht="15" customHeight="1" x14ac:dyDescent="0.2">
      <c r="B59" t="s">
        <v>186</v>
      </c>
      <c r="C59" s="12">
        <v>28</v>
      </c>
      <c r="D59" s="8">
        <v>1.69</v>
      </c>
      <c r="E59" s="12">
        <v>12</v>
      </c>
      <c r="F59" s="8">
        <v>1.63</v>
      </c>
      <c r="G59" s="12">
        <v>16</v>
      </c>
      <c r="H59" s="8">
        <v>1.74</v>
      </c>
      <c r="I59" s="12">
        <v>0</v>
      </c>
    </row>
    <row r="60" spans="2:9" ht="15" customHeight="1" x14ac:dyDescent="0.2">
      <c r="B60" t="s">
        <v>171</v>
      </c>
      <c r="C60" s="12">
        <v>27</v>
      </c>
      <c r="D60" s="8">
        <v>1.63</v>
      </c>
      <c r="E60" s="12">
        <v>16</v>
      </c>
      <c r="F60" s="8">
        <v>2.1800000000000002</v>
      </c>
      <c r="G60" s="12">
        <v>11</v>
      </c>
      <c r="H60" s="8">
        <v>1.19</v>
      </c>
      <c r="I60" s="12">
        <v>0</v>
      </c>
    </row>
    <row r="61" spans="2:9" ht="15" customHeight="1" x14ac:dyDescent="0.2">
      <c r="B61" t="s">
        <v>159</v>
      </c>
      <c r="C61" s="12">
        <v>25</v>
      </c>
      <c r="D61" s="8">
        <v>1.51</v>
      </c>
      <c r="E61" s="12">
        <v>11</v>
      </c>
      <c r="F61" s="8">
        <v>1.5</v>
      </c>
      <c r="G61" s="12">
        <v>14</v>
      </c>
      <c r="H61" s="8">
        <v>1.52</v>
      </c>
      <c r="I61" s="12">
        <v>0</v>
      </c>
    </row>
    <row r="62" spans="2:9" ht="15" customHeight="1" x14ac:dyDescent="0.2">
      <c r="B62" t="s">
        <v>197</v>
      </c>
      <c r="C62" s="12">
        <v>25</v>
      </c>
      <c r="D62" s="8">
        <v>1.51</v>
      </c>
      <c r="E62" s="12">
        <v>11</v>
      </c>
      <c r="F62" s="8">
        <v>1.5</v>
      </c>
      <c r="G62" s="12">
        <v>14</v>
      </c>
      <c r="H62" s="8">
        <v>1.52</v>
      </c>
      <c r="I62" s="12">
        <v>0</v>
      </c>
    </row>
    <row r="63" spans="2:9" ht="15" customHeight="1" x14ac:dyDescent="0.2">
      <c r="B63" t="s">
        <v>162</v>
      </c>
      <c r="C63" s="12">
        <v>25</v>
      </c>
      <c r="D63" s="8">
        <v>1.51</v>
      </c>
      <c r="E63" s="12">
        <v>17</v>
      </c>
      <c r="F63" s="8">
        <v>2.3199999999999998</v>
      </c>
      <c r="G63" s="12">
        <v>8</v>
      </c>
      <c r="H63" s="8">
        <v>0.87</v>
      </c>
      <c r="I63" s="12">
        <v>0</v>
      </c>
    </row>
    <row r="64" spans="2:9" ht="15" customHeight="1" x14ac:dyDescent="0.2">
      <c r="B64" t="s">
        <v>164</v>
      </c>
      <c r="C64" s="12">
        <v>21</v>
      </c>
      <c r="D64" s="8">
        <v>1.26</v>
      </c>
      <c r="E64" s="12">
        <v>11</v>
      </c>
      <c r="F64" s="8">
        <v>1.5</v>
      </c>
      <c r="G64" s="12">
        <v>10</v>
      </c>
      <c r="H64" s="8">
        <v>1.08</v>
      </c>
      <c r="I64" s="12">
        <v>0</v>
      </c>
    </row>
    <row r="65" spans="2:9" ht="15" customHeight="1" x14ac:dyDescent="0.2">
      <c r="B65" t="s">
        <v>182</v>
      </c>
      <c r="C65" s="12">
        <v>19</v>
      </c>
      <c r="D65" s="8">
        <v>1.1399999999999999</v>
      </c>
      <c r="E65" s="12">
        <v>4</v>
      </c>
      <c r="F65" s="8">
        <v>0.54</v>
      </c>
      <c r="G65" s="12">
        <v>15</v>
      </c>
      <c r="H65" s="8">
        <v>1.63</v>
      </c>
      <c r="I65" s="12">
        <v>0</v>
      </c>
    </row>
    <row r="66" spans="2:9" ht="15" customHeight="1" x14ac:dyDescent="0.2">
      <c r="B66" t="s">
        <v>193</v>
      </c>
      <c r="C66" s="12">
        <v>19</v>
      </c>
      <c r="D66" s="8">
        <v>1.1399999999999999</v>
      </c>
      <c r="E66" s="12">
        <v>3</v>
      </c>
      <c r="F66" s="8">
        <v>0.41</v>
      </c>
      <c r="G66" s="12">
        <v>16</v>
      </c>
      <c r="H66" s="8">
        <v>1.74</v>
      </c>
      <c r="I66" s="12">
        <v>0</v>
      </c>
    </row>
    <row r="67" spans="2:9" ht="15" customHeight="1" x14ac:dyDescent="0.2">
      <c r="B67" t="s">
        <v>179</v>
      </c>
      <c r="C67" s="12">
        <v>19</v>
      </c>
      <c r="D67" s="8">
        <v>1.1399999999999999</v>
      </c>
      <c r="E67" s="12">
        <v>11</v>
      </c>
      <c r="F67" s="8">
        <v>1.5</v>
      </c>
      <c r="G67" s="12">
        <v>8</v>
      </c>
      <c r="H67" s="8">
        <v>0.87</v>
      </c>
      <c r="I67" s="12">
        <v>0</v>
      </c>
    </row>
    <row r="69" spans="2:9" ht="15" customHeight="1" x14ac:dyDescent="0.2">
      <c r="B69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32536-0EDA-4575-9A7B-A2871E14EA60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314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518</v>
      </c>
      <c r="D6" s="8">
        <v>16.8</v>
      </c>
      <c r="E6" s="12">
        <v>89</v>
      </c>
      <c r="F6" s="8">
        <v>7.28</v>
      </c>
      <c r="G6" s="12">
        <v>428</v>
      </c>
      <c r="H6" s="8">
        <v>23.2</v>
      </c>
      <c r="I6" s="12">
        <v>1</v>
      </c>
    </row>
    <row r="7" spans="2:9" ht="15" customHeight="1" x14ac:dyDescent="0.2">
      <c r="B7" t="s">
        <v>76</v>
      </c>
      <c r="C7" s="12">
        <v>772</v>
      </c>
      <c r="D7" s="8">
        <v>25.03</v>
      </c>
      <c r="E7" s="12">
        <v>266</v>
      </c>
      <c r="F7" s="8">
        <v>21.75</v>
      </c>
      <c r="G7" s="12">
        <v>506</v>
      </c>
      <c r="H7" s="8">
        <v>27.43</v>
      </c>
      <c r="I7" s="12">
        <v>0</v>
      </c>
    </row>
    <row r="8" spans="2:9" ht="15" customHeight="1" x14ac:dyDescent="0.2">
      <c r="B8" t="s">
        <v>77</v>
      </c>
      <c r="C8" s="12">
        <v>2</v>
      </c>
      <c r="D8" s="8">
        <v>0.06</v>
      </c>
      <c r="E8" s="12">
        <v>0</v>
      </c>
      <c r="F8" s="8">
        <v>0</v>
      </c>
      <c r="G8" s="12">
        <v>2</v>
      </c>
      <c r="H8" s="8">
        <v>0.11</v>
      </c>
      <c r="I8" s="12">
        <v>0</v>
      </c>
    </row>
    <row r="9" spans="2:9" ht="15" customHeight="1" x14ac:dyDescent="0.2">
      <c r="B9" t="s">
        <v>78</v>
      </c>
      <c r="C9" s="12">
        <v>25</v>
      </c>
      <c r="D9" s="8">
        <v>0.81</v>
      </c>
      <c r="E9" s="12">
        <v>0</v>
      </c>
      <c r="F9" s="8">
        <v>0</v>
      </c>
      <c r="G9" s="12">
        <v>25</v>
      </c>
      <c r="H9" s="8">
        <v>1.36</v>
      </c>
      <c r="I9" s="12">
        <v>0</v>
      </c>
    </row>
    <row r="10" spans="2:9" ht="15" customHeight="1" x14ac:dyDescent="0.2">
      <c r="B10" t="s">
        <v>79</v>
      </c>
      <c r="C10" s="12">
        <v>44</v>
      </c>
      <c r="D10" s="8">
        <v>1.43</v>
      </c>
      <c r="E10" s="12">
        <v>3</v>
      </c>
      <c r="F10" s="8">
        <v>0.25</v>
      </c>
      <c r="G10" s="12">
        <v>41</v>
      </c>
      <c r="H10" s="8">
        <v>2.2200000000000002</v>
      </c>
      <c r="I10" s="12">
        <v>0</v>
      </c>
    </row>
    <row r="11" spans="2:9" ht="15" customHeight="1" x14ac:dyDescent="0.2">
      <c r="B11" t="s">
        <v>80</v>
      </c>
      <c r="C11" s="12">
        <v>485</v>
      </c>
      <c r="D11" s="8">
        <v>15.73</v>
      </c>
      <c r="E11" s="12">
        <v>165</v>
      </c>
      <c r="F11" s="8">
        <v>13.49</v>
      </c>
      <c r="G11" s="12">
        <v>319</v>
      </c>
      <c r="H11" s="8">
        <v>17.29</v>
      </c>
      <c r="I11" s="12">
        <v>1</v>
      </c>
    </row>
    <row r="12" spans="2:9" ht="15" customHeight="1" x14ac:dyDescent="0.2">
      <c r="B12" t="s">
        <v>81</v>
      </c>
      <c r="C12" s="12">
        <v>17</v>
      </c>
      <c r="D12" s="8">
        <v>0.55000000000000004</v>
      </c>
      <c r="E12" s="12">
        <v>3</v>
      </c>
      <c r="F12" s="8">
        <v>0.25</v>
      </c>
      <c r="G12" s="12">
        <v>14</v>
      </c>
      <c r="H12" s="8">
        <v>0.76</v>
      </c>
      <c r="I12" s="12">
        <v>0</v>
      </c>
    </row>
    <row r="13" spans="2:9" ht="15" customHeight="1" x14ac:dyDescent="0.2">
      <c r="B13" t="s">
        <v>82</v>
      </c>
      <c r="C13" s="12">
        <v>414</v>
      </c>
      <c r="D13" s="8">
        <v>13.42</v>
      </c>
      <c r="E13" s="12">
        <v>172</v>
      </c>
      <c r="F13" s="8">
        <v>14.06</v>
      </c>
      <c r="G13" s="12">
        <v>242</v>
      </c>
      <c r="H13" s="8">
        <v>13.12</v>
      </c>
      <c r="I13" s="12">
        <v>0</v>
      </c>
    </row>
    <row r="14" spans="2:9" ht="15" customHeight="1" x14ac:dyDescent="0.2">
      <c r="B14" t="s">
        <v>83</v>
      </c>
      <c r="C14" s="12">
        <v>93</v>
      </c>
      <c r="D14" s="8">
        <v>3.02</v>
      </c>
      <c r="E14" s="12">
        <v>34</v>
      </c>
      <c r="F14" s="8">
        <v>2.78</v>
      </c>
      <c r="G14" s="12">
        <v>58</v>
      </c>
      <c r="H14" s="8">
        <v>3.14</v>
      </c>
      <c r="I14" s="12">
        <v>0</v>
      </c>
    </row>
    <row r="15" spans="2:9" ht="15" customHeight="1" x14ac:dyDescent="0.2">
      <c r="B15" t="s">
        <v>84</v>
      </c>
      <c r="C15" s="12">
        <v>202</v>
      </c>
      <c r="D15" s="8">
        <v>6.55</v>
      </c>
      <c r="E15" s="12">
        <v>165</v>
      </c>
      <c r="F15" s="8">
        <v>13.49</v>
      </c>
      <c r="G15" s="12">
        <v>35</v>
      </c>
      <c r="H15" s="8">
        <v>1.9</v>
      </c>
      <c r="I15" s="12">
        <v>0</v>
      </c>
    </row>
    <row r="16" spans="2:9" ht="15" customHeight="1" x14ac:dyDescent="0.2">
      <c r="B16" t="s">
        <v>85</v>
      </c>
      <c r="C16" s="12">
        <v>243</v>
      </c>
      <c r="D16" s="8">
        <v>7.88</v>
      </c>
      <c r="E16" s="12">
        <v>185</v>
      </c>
      <c r="F16" s="8">
        <v>15.13</v>
      </c>
      <c r="G16" s="12">
        <v>58</v>
      </c>
      <c r="H16" s="8">
        <v>3.14</v>
      </c>
      <c r="I16" s="12">
        <v>0</v>
      </c>
    </row>
    <row r="17" spans="2:9" ht="15" customHeight="1" x14ac:dyDescent="0.2">
      <c r="B17" t="s">
        <v>86</v>
      </c>
      <c r="C17" s="12">
        <v>56</v>
      </c>
      <c r="D17" s="8">
        <v>1.82</v>
      </c>
      <c r="E17" s="12">
        <v>39</v>
      </c>
      <c r="F17" s="8">
        <v>3.19</v>
      </c>
      <c r="G17" s="12">
        <v>17</v>
      </c>
      <c r="H17" s="8">
        <v>0.92</v>
      </c>
      <c r="I17" s="12">
        <v>0</v>
      </c>
    </row>
    <row r="18" spans="2:9" ht="15" customHeight="1" x14ac:dyDescent="0.2">
      <c r="B18" t="s">
        <v>87</v>
      </c>
      <c r="C18" s="12">
        <v>84</v>
      </c>
      <c r="D18" s="8">
        <v>2.72</v>
      </c>
      <c r="E18" s="12">
        <v>50</v>
      </c>
      <c r="F18" s="8">
        <v>4.09</v>
      </c>
      <c r="G18" s="12">
        <v>28</v>
      </c>
      <c r="H18" s="8">
        <v>1.52</v>
      </c>
      <c r="I18" s="12">
        <v>0</v>
      </c>
    </row>
    <row r="19" spans="2:9" ht="15" customHeight="1" x14ac:dyDescent="0.2">
      <c r="B19" t="s">
        <v>88</v>
      </c>
      <c r="C19" s="12">
        <v>129</v>
      </c>
      <c r="D19" s="8">
        <v>4.18</v>
      </c>
      <c r="E19" s="12">
        <v>52</v>
      </c>
      <c r="F19" s="8">
        <v>4.25</v>
      </c>
      <c r="G19" s="12">
        <v>72</v>
      </c>
      <c r="H19" s="8">
        <v>3.9</v>
      </c>
      <c r="I19" s="12">
        <v>0</v>
      </c>
    </row>
    <row r="20" spans="2:9" ht="15" customHeight="1" x14ac:dyDescent="0.2">
      <c r="B20" s="9" t="s">
        <v>269</v>
      </c>
      <c r="C20" s="12">
        <f>SUM(LTBL_11237[総数／事業所数])</f>
        <v>3084</v>
      </c>
      <c r="E20" s="12">
        <f>SUBTOTAL(109,LTBL_11237[個人／事業所数])</f>
        <v>1223</v>
      </c>
      <c r="G20" s="12">
        <f>SUBTOTAL(109,LTBL_11237[法人／事業所数])</f>
        <v>1845</v>
      </c>
      <c r="I20" s="12">
        <f>SUBTOTAL(109,LTBL_11237[法人以外の団体／事業所数])</f>
        <v>2</v>
      </c>
    </row>
    <row r="21" spans="2:9" ht="15" customHeight="1" x14ac:dyDescent="0.2">
      <c r="E21" s="11">
        <f>LTBL_11237[[#Totals],[個人／事業所数]]/LTBL_11237[[#Totals],[総数／事業所数]]</f>
        <v>0.39656290531776911</v>
      </c>
      <c r="G21" s="11">
        <f>LTBL_11237[[#Totals],[法人／事業所数]]/LTBL_11237[[#Totals],[総数／事業所数]]</f>
        <v>0.59824902723735407</v>
      </c>
      <c r="I21" s="11">
        <f>LTBL_11237[[#Totals],[法人以外の団体／事業所数]]/LTBL_11237[[#Totals],[総数／事業所数]]</f>
        <v>6.485084306095979E-4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108</v>
      </c>
      <c r="C24" s="12">
        <v>348</v>
      </c>
      <c r="D24" s="8">
        <v>11.28</v>
      </c>
      <c r="E24" s="12">
        <v>167</v>
      </c>
      <c r="F24" s="8">
        <v>13.65</v>
      </c>
      <c r="G24" s="12">
        <v>181</v>
      </c>
      <c r="H24" s="8">
        <v>9.81</v>
      </c>
      <c r="I24" s="12">
        <v>0</v>
      </c>
    </row>
    <row r="25" spans="2:9" ht="15" customHeight="1" x14ac:dyDescent="0.2">
      <c r="B25" t="s">
        <v>98</v>
      </c>
      <c r="C25" s="12">
        <v>219</v>
      </c>
      <c r="D25" s="8">
        <v>7.1</v>
      </c>
      <c r="E25" s="12">
        <v>45</v>
      </c>
      <c r="F25" s="8">
        <v>3.68</v>
      </c>
      <c r="G25" s="12">
        <v>173</v>
      </c>
      <c r="H25" s="8">
        <v>9.3800000000000008</v>
      </c>
      <c r="I25" s="12">
        <v>1</v>
      </c>
    </row>
    <row r="26" spans="2:9" ht="15" customHeight="1" x14ac:dyDescent="0.2">
      <c r="B26" t="s">
        <v>112</v>
      </c>
      <c r="C26" s="12">
        <v>192</v>
      </c>
      <c r="D26" s="8">
        <v>6.23</v>
      </c>
      <c r="E26" s="12">
        <v>162</v>
      </c>
      <c r="F26" s="8">
        <v>13.25</v>
      </c>
      <c r="G26" s="12">
        <v>30</v>
      </c>
      <c r="H26" s="8">
        <v>1.63</v>
      </c>
      <c r="I26" s="12">
        <v>0</v>
      </c>
    </row>
    <row r="27" spans="2:9" ht="15" customHeight="1" x14ac:dyDescent="0.2">
      <c r="B27" t="s">
        <v>111</v>
      </c>
      <c r="C27" s="12">
        <v>189</v>
      </c>
      <c r="D27" s="8">
        <v>6.13</v>
      </c>
      <c r="E27" s="12">
        <v>161</v>
      </c>
      <c r="F27" s="8">
        <v>13.16</v>
      </c>
      <c r="G27" s="12">
        <v>28</v>
      </c>
      <c r="H27" s="8">
        <v>1.52</v>
      </c>
      <c r="I27" s="12">
        <v>0</v>
      </c>
    </row>
    <row r="28" spans="2:9" ht="15" customHeight="1" x14ac:dyDescent="0.2">
      <c r="B28" t="s">
        <v>100</v>
      </c>
      <c r="C28" s="12">
        <v>173</v>
      </c>
      <c r="D28" s="8">
        <v>5.61</v>
      </c>
      <c r="E28" s="12">
        <v>51</v>
      </c>
      <c r="F28" s="8">
        <v>4.17</v>
      </c>
      <c r="G28" s="12">
        <v>122</v>
      </c>
      <c r="H28" s="8">
        <v>6.61</v>
      </c>
      <c r="I28" s="12">
        <v>0</v>
      </c>
    </row>
    <row r="29" spans="2:9" ht="15" customHeight="1" x14ac:dyDescent="0.2">
      <c r="B29" t="s">
        <v>97</v>
      </c>
      <c r="C29" s="12">
        <v>163</v>
      </c>
      <c r="D29" s="8">
        <v>5.29</v>
      </c>
      <c r="E29" s="12">
        <v>24</v>
      </c>
      <c r="F29" s="8">
        <v>1.96</v>
      </c>
      <c r="G29" s="12">
        <v>139</v>
      </c>
      <c r="H29" s="8">
        <v>7.53</v>
      </c>
      <c r="I29" s="12">
        <v>0</v>
      </c>
    </row>
    <row r="30" spans="2:9" ht="15" customHeight="1" x14ac:dyDescent="0.2">
      <c r="B30" t="s">
        <v>99</v>
      </c>
      <c r="C30" s="12">
        <v>136</v>
      </c>
      <c r="D30" s="8">
        <v>4.41</v>
      </c>
      <c r="E30" s="12">
        <v>20</v>
      </c>
      <c r="F30" s="8">
        <v>1.64</v>
      </c>
      <c r="G30" s="12">
        <v>116</v>
      </c>
      <c r="H30" s="8">
        <v>6.29</v>
      </c>
      <c r="I30" s="12">
        <v>0</v>
      </c>
    </row>
    <row r="31" spans="2:9" ht="15" customHeight="1" x14ac:dyDescent="0.2">
      <c r="B31" t="s">
        <v>106</v>
      </c>
      <c r="C31" s="12">
        <v>109</v>
      </c>
      <c r="D31" s="8">
        <v>3.53</v>
      </c>
      <c r="E31" s="12">
        <v>40</v>
      </c>
      <c r="F31" s="8">
        <v>3.27</v>
      </c>
      <c r="G31" s="12">
        <v>69</v>
      </c>
      <c r="H31" s="8">
        <v>3.74</v>
      </c>
      <c r="I31" s="12">
        <v>0</v>
      </c>
    </row>
    <row r="32" spans="2:9" ht="15" customHeight="1" x14ac:dyDescent="0.2">
      <c r="B32" t="s">
        <v>120</v>
      </c>
      <c r="C32" s="12">
        <v>96</v>
      </c>
      <c r="D32" s="8">
        <v>3.11</v>
      </c>
      <c r="E32" s="12">
        <v>17</v>
      </c>
      <c r="F32" s="8">
        <v>1.39</v>
      </c>
      <c r="G32" s="12">
        <v>79</v>
      </c>
      <c r="H32" s="8">
        <v>4.28</v>
      </c>
      <c r="I32" s="12">
        <v>0</v>
      </c>
    </row>
    <row r="33" spans="2:9" ht="15" customHeight="1" x14ac:dyDescent="0.2">
      <c r="B33" t="s">
        <v>105</v>
      </c>
      <c r="C33" s="12">
        <v>80</v>
      </c>
      <c r="D33" s="8">
        <v>2.59</v>
      </c>
      <c r="E33" s="12">
        <v>35</v>
      </c>
      <c r="F33" s="8">
        <v>2.86</v>
      </c>
      <c r="G33" s="12">
        <v>45</v>
      </c>
      <c r="H33" s="8">
        <v>2.44</v>
      </c>
      <c r="I33" s="12">
        <v>0</v>
      </c>
    </row>
    <row r="34" spans="2:9" ht="15" customHeight="1" x14ac:dyDescent="0.2">
      <c r="B34" t="s">
        <v>125</v>
      </c>
      <c r="C34" s="12">
        <v>75</v>
      </c>
      <c r="D34" s="8">
        <v>2.4300000000000002</v>
      </c>
      <c r="E34" s="12">
        <v>30</v>
      </c>
      <c r="F34" s="8">
        <v>2.4500000000000002</v>
      </c>
      <c r="G34" s="12">
        <v>45</v>
      </c>
      <c r="H34" s="8">
        <v>2.44</v>
      </c>
      <c r="I34" s="12">
        <v>0</v>
      </c>
    </row>
    <row r="35" spans="2:9" ht="15" customHeight="1" x14ac:dyDescent="0.2">
      <c r="B35" t="s">
        <v>128</v>
      </c>
      <c r="C35" s="12">
        <v>71</v>
      </c>
      <c r="D35" s="8">
        <v>2.2999999999999998</v>
      </c>
      <c r="E35" s="12">
        <v>21</v>
      </c>
      <c r="F35" s="8">
        <v>1.72</v>
      </c>
      <c r="G35" s="12">
        <v>50</v>
      </c>
      <c r="H35" s="8">
        <v>2.71</v>
      </c>
      <c r="I35" s="12">
        <v>0</v>
      </c>
    </row>
    <row r="36" spans="2:9" ht="15" customHeight="1" x14ac:dyDescent="0.2">
      <c r="B36" t="s">
        <v>115</v>
      </c>
      <c r="C36" s="12">
        <v>63</v>
      </c>
      <c r="D36" s="8">
        <v>2.04</v>
      </c>
      <c r="E36" s="12">
        <v>50</v>
      </c>
      <c r="F36" s="8">
        <v>4.09</v>
      </c>
      <c r="G36" s="12">
        <v>13</v>
      </c>
      <c r="H36" s="8">
        <v>0.7</v>
      </c>
      <c r="I36" s="12">
        <v>0</v>
      </c>
    </row>
    <row r="37" spans="2:9" ht="15" customHeight="1" x14ac:dyDescent="0.2">
      <c r="B37" t="s">
        <v>104</v>
      </c>
      <c r="C37" s="12">
        <v>61</v>
      </c>
      <c r="D37" s="8">
        <v>1.98</v>
      </c>
      <c r="E37" s="12">
        <v>45</v>
      </c>
      <c r="F37" s="8">
        <v>3.68</v>
      </c>
      <c r="G37" s="12">
        <v>15</v>
      </c>
      <c r="H37" s="8">
        <v>0.81</v>
      </c>
      <c r="I37" s="12">
        <v>1</v>
      </c>
    </row>
    <row r="38" spans="2:9" ht="15" customHeight="1" x14ac:dyDescent="0.2">
      <c r="B38" t="s">
        <v>117</v>
      </c>
      <c r="C38" s="12">
        <v>59</v>
      </c>
      <c r="D38" s="8">
        <v>1.91</v>
      </c>
      <c r="E38" s="12">
        <v>9</v>
      </c>
      <c r="F38" s="8">
        <v>0.74</v>
      </c>
      <c r="G38" s="12">
        <v>50</v>
      </c>
      <c r="H38" s="8">
        <v>2.71</v>
      </c>
      <c r="I38" s="12">
        <v>0</v>
      </c>
    </row>
    <row r="39" spans="2:9" ht="15" customHeight="1" x14ac:dyDescent="0.2">
      <c r="B39" t="s">
        <v>109</v>
      </c>
      <c r="C39" s="12">
        <v>59</v>
      </c>
      <c r="D39" s="8">
        <v>1.91</v>
      </c>
      <c r="E39" s="12">
        <v>30</v>
      </c>
      <c r="F39" s="8">
        <v>2.4500000000000002</v>
      </c>
      <c r="G39" s="12">
        <v>29</v>
      </c>
      <c r="H39" s="8">
        <v>1.57</v>
      </c>
      <c r="I39" s="12">
        <v>0</v>
      </c>
    </row>
    <row r="40" spans="2:9" ht="15" customHeight="1" x14ac:dyDescent="0.2">
      <c r="B40" t="s">
        <v>114</v>
      </c>
      <c r="C40" s="12">
        <v>56</v>
      </c>
      <c r="D40" s="8">
        <v>1.82</v>
      </c>
      <c r="E40" s="12">
        <v>39</v>
      </c>
      <c r="F40" s="8">
        <v>3.19</v>
      </c>
      <c r="G40" s="12">
        <v>17</v>
      </c>
      <c r="H40" s="8">
        <v>0.92</v>
      </c>
      <c r="I40" s="12">
        <v>0</v>
      </c>
    </row>
    <row r="41" spans="2:9" ht="15" customHeight="1" x14ac:dyDescent="0.2">
      <c r="B41" t="s">
        <v>116</v>
      </c>
      <c r="C41" s="12">
        <v>53</v>
      </c>
      <c r="D41" s="8">
        <v>1.72</v>
      </c>
      <c r="E41" s="12">
        <v>35</v>
      </c>
      <c r="F41" s="8">
        <v>2.86</v>
      </c>
      <c r="G41" s="12">
        <v>18</v>
      </c>
      <c r="H41" s="8">
        <v>0.98</v>
      </c>
      <c r="I41" s="12">
        <v>0</v>
      </c>
    </row>
    <row r="42" spans="2:9" ht="15" customHeight="1" x14ac:dyDescent="0.2">
      <c r="B42" t="s">
        <v>133</v>
      </c>
      <c r="C42" s="12">
        <v>52</v>
      </c>
      <c r="D42" s="8">
        <v>1.69</v>
      </c>
      <c r="E42" s="12">
        <v>39</v>
      </c>
      <c r="F42" s="8">
        <v>3.19</v>
      </c>
      <c r="G42" s="12">
        <v>13</v>
      </c>
      <c r="H42" s="8">
        <v>0.7</v>
      </c>
      <c r="I42" s="12">
        <v>0</v>
      </c>
    </row>
    <row r="43" spans="2:9" ht="15" customHeight="1" x14ac:dyDescent="0.2">
      <c r="B43" t="s">
        <v>132</v>
      </c>
      <c r="C43" s="12">
        <v>49</v>
      </c>
      <c r="D43" s="8">
        <v>1.59</v>
      </c>
      <c r="E43" s="12">
        <v>25</v>
      </c>
      <c r="F43" s="8">
        <v>2.04</v>
      </c>
      <c r="G43" s="12">
        <v>24</v>
      </c>
      <c r="H43" s="8">
        <v>1.3</v>
      </c>
      <c r="I43" s="12">
        <v>0</v>
      </c>
    </row>
    <row r="44" spans="2:9" ht="15" customHeight="1" x14ac:dyDescent="0.2">
      <c r="B44" t="s">
        <v>107</v>
      </c>
      <c r="C44" s="12">
        <v>49</v>
      </c>
      <c r="D44" s="8">
        <v>1.59</v>
      </c>
      <c r="E44" s="12">
        <v>4</v>
      </c>
      <c r="F44" s="8">
        <v>0.33</v>
      </c>
      <c r="G44" s="12">
        <v>45</v>
      </c>
      <c r="H44" s="8">
        <v>2.44</v>
      </c>
      <c r="I44" s="12">
        <v>0</v>
      </c>
    </row>
    <row r="47" spans="2:9" ht="33" customHeight="1" x14ac:dyDescent="0.2">
      <c r="B47" t="s">
        <v>271</v>
      </c>
      <c r="C47" s="10" t="s">
        <v>90</v>
      </c>
      <c r="D47" s="10" t="s">
        <v>91</v>
      </c>
      <c r="E47" s="10" t="s">
        <v>92</v>
      </c>
      <c r="F47" s="10" t="s">
        <v>93</v>
      </c>
      <c r="G47" s="10" t="s">
        <v>94</v>
      </c>
      <c r="H47" s="10" t="s">
        <v>95</v>
      </c>
      <c r="I47" s="10" t="s">
        <v>96</v>
      </c>
    </row>
    <row r="48" spans="2:9" ht="15" customHeight="1" x14ac:dyDescent="0.2">
      <c r="B48" t="s">
        <v>167</v>
      </c>
      <c r="C48" s="12">
        <v>150</v>
      </c>
      <c r="D48" s="8">
        <v>4.8600000000000003</v>
      </c>
      <c r="E48" s="12">
        <v>91</v>
      </c>
      <c r="F48" s="8">
        <v>7.44</v>
      </c>
      <c r="G48" s="12">
        <v>59</v>
      </c>
      <c r="H48" s="8">
        <v>3.2</v>
      </c>
      <c r="I48" s="12">
        <v>0</v>
      </c>
    </row>
    <row r="49" spans="2:9" ht="15" customHeight="1" x14ac:dyDescent="0.2">
      <c r="B49" t="s">
        <v>166</v>
      </c>
      <c r="C49" s="12">
        <v>124</v>
      </c>
      <c r="D49" s="8">
        <v>4.0199999999999996</v>
      </c>
      <c r="E49" s="12">
        <v>50</v>
      </c>
      <c r="F49" s="8">
        <v>4.09</v>
      </c>
      <c r="G49" s="12">
        <v>74</v>
      </c>
      <c r="H49" s="8">
        <v>4.01</v>
      </c>
      <c r="I49" s="12">
        <v>0</v>
      </c>
    </row>
    <row r="50" spans="2:9" ht="15" customHeight="1" x14ac:dyDescent="0.2">
      <c r="B50" t="s">
        <v>173</v>
      </c>
      <c r="C50" s="12">
        <v>86</v>
      </c>
      <c r="D50" s="8">
        <v>2.79</v>
      </c>
      <c r="E50" s="12">
        <v>75</v>
      </c>
      <c r="F50" s="8">
        <v>6.13</v>
      </c>
      <c r="G50" s="12">
        <v>11</v>
      </c>
      <c r="H50" s="8">
        <v>0.6</v>
      </c>
      <c r="I50" s="12">
        <v>0</v>
      </c>
    </row>
    <row r="51" spans="2:9" ht="15" customHeight="1" x14ac:dyDescent="0.2">
      <c r="B51" t="s">
        <v>170</v>
      </c>
      <c r="C51" s="12">
        <v>85</v>
      </c>
      <c r="D51" s="8">
        <v>2.76</v>
      </c>
      <c r="E51" s="12">
        <v>76</v>
      </c>
      <c r="F51" s="8">
        <v>6.21</v>
      </c>
      <c r="G51" s="12">
        <v>9</v>
      </c>
      <c r="H51" s="8">
        <v>0.49</v>
      </c>
      <c r="I51" s="12">
        <v>0</v>
      </c>
    </row>
    <row r="52" spans="2:9" ht="15" customHeight="1" x14ac:dyDescent="0.2">
      <c r="B52" t="s">
        <v>200</v>
      </c>
      <c r="C52" s="12">
        <v>65</v>
      </c>
      <c r="D52" s="8">
        <v>2.11</v>
      </c>
      <c r="E52" s="12">
        <v>15</v>
      </c>
      <c r="F52" s="8">
        <v>1.23</v>
      </c>
      <c r="G52" s="12">
        <v>50</v>
      </c>
      <c r="H52" s="8">
        <v>2.71</v>
      </c>
      <c r="I52" s="12">
        <v>0</v>
      </c>
    </row>
    <row r="53" spans="2:9" ht="15" customHeight="1" x14ac:dyDescent="0.2">
      <c r="B53" t="s">
        <v>172</v>
      </c>
      <c r="C53" s="12">
        <v>64</v>
      </c>
      <c r="D53" s="8">
        <v>2.08</v>
      </c>
      <c r="E53" s="12">
        <v>56</v>
      </c>
      <c r="F53" s="8">
        <v>4.58</v>
      </c>
      <c r="G53" s="12">
        <v>8</v>
      </c>
      <c r="H53" s="8">
        <v>0.43</v>
      </c>
      <c r="I53" s="12">
        <v>0</v>
      </c>
    </row>
    <row r="54" spans="2:9" ht="15" customHeight="1" x14ac:dyDescent="0.2">
      <c r="B54" t="s">
        <v>163</v>
      </c>
      <c r="C54" s="12">
        <v>60</v>
      </c>
      <c r="D54" s="8">
        <v>1.95</v>
      </c>
      <c r="E54" s="12">
        <v>23</v>
      </c>
      <c r="F54" s="8">
        <v>1.88</v>
      </c>
      <c r="G54" s="12">
        <v>37</v>
      </c>
      <c r="H54" s="8">
        <v>2.0099999999999998</v>
      </c>
      <c r="I54" s="12">
        <v>0</v>
      </c>
    </row>
    <row r="55" spans="2:9" ht="15" customHeight="1" x14ac:dyDescent="0.2">
      <c r="B55" t="s">
        <v>214</v>
      </c>
      <c r="C55" s="12">
        <v>59</v>
      </c>
      <c r="D55" s="8">
        <v>1.91</v>
      </c>
      <c r="E55" s="12">
        <v>13</v>
      </c>
      <c r="F55" s="8">
        <v>1.06</v>
      </c>
      <c r="G55" s="12">
        <v>46</v>
      </c>
      <c r="H55" s="8">
        <v>2.4900000000000002</v>
      </c>
      <c r="I55" s="12">
        <v>0</v>
      </c>
    </row>
    <row r="56" spans="2:9" ht="15" customHeight="1" x14ac:dyDescent="0.2">
      <c r="B56" t="s">
        <v>161</v>
      </c>
      <c r="C56" s="12">
        <v>57</v>
      </c>
      <c r="D56" s="8">
        <v>1.85</v>
      </c>
      <c r="E56" s="12">
        <v>12</v>
      </c>
      <c r="F56" s="8">
        <v>0.98</v>
      </c>
      <c r="G56" s="12">
        <v>45</v>
      </c>
      <c r="H56" s="8">
        <v>2.44</v>
      </c>
      <c r="I56" s="12">
        <v>0</v>
      </c>
    </row>
    <row r="57" spans="2:9" ht="15" customHeight="1" x14ac:dyDescent="0.2">
      <c r="B57" t="s">
        <v>160</v>
      </c>
      <c r="C57" s="12">
        <v>53</v>
      </c>
      <c r="D57" s="8">
        <v>1.72</v>
      </c>
      <c r="E57" s="12">
        <v>7</v>
      </c>
      <c r="F57" s="8">
        <v>0.56999999999999995</v>
      </c>
      <c r="G57" s="12">
        <v>46</v>
      </c>
      <c r="H57" s="8">
        <v>2.4900000000000002</v>
      </c>
      <c r="I57" s="12">
        <v>0</v>
      </c>
    </row>
    <row r="58" spans="2:9" ht="15" customHeight="1" x14ac:dyDescent="0.2">
      <c r="B58" t="s">
        <v>176</v>
      </c>
      <c r="C58" s="12">
        <v>53</v>
      </c>
      <c r="D58" s="8">
        <v>1.72</v>
      </c>
      <c r="E58" s="12">
        <v>35</v>
      </c>
      <c r="F58" s="8">
        <v>2.86</v>
      </c>
      <c r="G58" s="12">
        <v>18</v>
      </c>
      <c r="H58" s="8">
        <v>0.98</v>
      </c>
      <c r="I58" s="12">
        <v>0</v>
      </c>
    </row>
    <row r="59" spans="2:9" ht="15" customHeight="1" x14ac:dyDescent="0.2">
      <c r="B59" t="s">
        <v>175</v>
      </c>
      <c r="C59" s="12">
        <v>46</v>
      </c>
      <c r="D59" s="8">
        <v>1.49</v>
      </c>
      <c r="E59" s="12">
        <v>36</v>
      </c>
      <c r="F59" s="8">
        <v>2.94</v>
      </c>
      <c r="G59" s="12">
        <v>10</v>
      </c>
      <c r="H59" s="8">
        <v>0.54</v>
      </c>
      <c r="I59" s="12">
        <v>0</v>
      </c>
    </row>
    <row r="60" spans="2:9" ht="15" customHeight="1" x14ac:dyDescent="0.2">
      <c r="B60" t="s">
        <v>158</v>
      </c>
      <c r="C60" s="12">
        <v>44</v>
      </c>
      <c r="D60" s="8">
        <v>1.43</v>
      </c>
      <c r="E60" s="12">
        <v>4</v>
      </c>
      <c r="F60" s="8">
        <v>0.33</v>
      </c>
      <c r="G60" s="12">
        <v>40</v>
      </c>
      <c r="H60" s="8">
        <v>2.17</v>
      </c>
      <c r="I60" s="12">
        <v>0</v>
      </c>
    </row>
    <row r="61" spans="2:9" ht="15" customHeight="1" x14ac:dyDescent="0.2">
      <c r="B61" t="s">
        <v>197</v>
      </c>
      <c r="C61" s="12">
        <v>44</v>
      </c>
      <c r="D61" s="8">
        <v>1.43</v>
      </c>
      <c r="E61" s="12">
        <v>13</v>
      </c>
      <c r="F61" s="8">
        <v>1.06</v>
      </c>
      <c r="G61" s="12">
        <v>31</v>
      </c>
      <c r="H61" s="8">
        <v>1.68</v>
      </c>
      <c r="I61" s="12">
        <v>0</v>
      </c>
    </row>
    <row r="62" spans="2:9" ht="15" customHeight="1" x14ac:dyDescent="0.2">
      <c r="B62" t="s">
        <v>182</v>
      </c>
      <c r="C62" s="12">
        <v>44</v>
      </c>
      <c r="D62" s="8">
        <v>1.43</v>
      </c>
      <c r="E62" s="12">
        <v>9</v>
      </c>
      <c r="F62" s="8">
        <v>0.74</v>
      </c>
      <c r="G62" s="12">
        <v>34</v>
      </c>
      <c r="H62" s="8">
        <v>1.84</v>
      </c>
      <c r="I62" s="12">
        <v>1</v>
      </c>
    </row>
    <row r="63" spans="2:9" ht="15" customHeight="1" x14ac:dyDescent="0.2">
      <c r="B63" t="s">
        <v>165</v>
      </c>
      <c r="C63" s="12">
        <v>44</v>
      </c>
      <c r="D63" s="8">
        <v>1.43</v>
      </c>
      <c r="E63" s="12">
        <v>4</v>
      </c>
      <c r="F63" s="8">
        <v>0.33</v>
      </c>
      <c r="G63" s="12">
        <v>40</v>
      </c>
      <c r="H63" s="8">
        <v>2.17</v>
      </c>
      <c r="I63" s="12">
        <v>0</v>
      </c>
    </row>
    <row r="64" spans="2:9" ht="15" customHeight="1" x14ac:dyDescent="0.2">
      <c r="B64" t="s">
        <v>169</v>
      </c>
      <c r="C64" s="12">
        <v>44</v>
      </c>
      <c r="D64" s="8">
        <v>1.43</v>
      </c>
      <c r="E64" s="12">
        <v>34</v>
      </c>
      <c r="F64" s="8">
        <v>2.78</v>
      </c>
      <c r="G64" s="12">
        <v>10</v>
      </c>
      <c r="H64" s="8">
        <v>0.54</v>
      </c>
      <c r="I64" s="12">
        <v>0</v>
      </c>
    </row>
    <row r="65" spans="2:9" ht="15" customHeight="1" x14ac:dyDescent="0.2">
      <c r="B65" t="s">
        <v>168</v>
      </c>
      <c r="C65" s="12">
        <v>43</v>
      </c>
      <c r="D65" s="8">
        <v>1.39</v>
      </c>
      <c r="E65" s="12">
        <v>0</v>
      </c>
      <c r="F65" s="8">
        <v>0</v>
      </c>
      <c r="G65" s="12">
        <v>43</v>
      </c>
      <c r="H65" s="8">
        <v>2.33</v>
      </c>
      <c r="I65" s="12">
        <v>0</v>
      </c>
    </row>
    <row r="66" spans="2:9" ht="15" customHeight="1" x14ac:dyDescent="0.2">
      <c r="B66" t="s">
        <v>215</v>
      </c>
      <c r="C66" s="12">
        <v>39</v>
      </c>
      <c r="D66" s="8">
        <v>1.26</v>
      </c>
      <c r="E66" s="12">
        <v>18</v>
      </c>
      <c r="F66" s="8">
        <v>1.47</v>
      </c>
      <c r="G66" s="12">
        <v>21</v>
      </c>
      <c r="H66" s="8">
        <v>1.1399999999999999</v>
      </c>
      <c r="I66" s="12">
        <v>0</v>
      </c>
    </row>
    <row r="67" spans="2:9" ht="15" customHeight="1" x14ac:dyDescent="0.2">
      <c r="B67" t="s">
        <v>174</v>
      </c>
      <c r="C67" s="12">
        <v>39</v>
      </c>
      <c r="D67" s="8">
        <v>1.26</v>
      </c>
      <c r="E67" s="12">
        <v>27</v>
      </c>
      <c r="F67" s="8">
        <v>2.21</v>
      </c>
      <c r="G67" s="12">
        <v>12</v>
      </c>
      <c r="H67" s="8">
        <v>0.65</v>
      </c>
      <c r="I67" s="12">
        <v>0</v>
      </c>
    </row>
    <row r="69" spans="2:9" ht="15" customHeight="1" x14ac:dyDescent="0.2">
      <c r="B69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A7622-4925-42EE-AFFD-2D5042C8D478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315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185</v>
      </c>
      <c r="D6" s="8">
        <v>18.3</v>
      </c>
      <c r="E6" s="12">
        <v>60</v>
      </c>
      <c r="F6" s="8">
        <v>12.63</v>
      </c>
      <c r="G6" s="12">
        <v>125</v>
      </c>
      <c r="H6" s="8">
        <v>23.76</v>
      </c>
      <c r="I6" s="12">
        <v>0</v>
      </c>
    </row>
    <row r="7" spans="2:9" ht="15" customHeight="1" x14ac:dyDescent="0.2">
      <c r="B7" t="s">
        <v>76</v>
      </c>
      <c r="C7" s="12">
        <v>92</v>
      </c>
      <c r="D7" s="8">
        <v>9.1</v>
      </c>
      <c r="E7" s="12">
        <v>27</v>
      </c>
      <c r="F7" s="8">
        <v>5.68</v>
      </c>
      <c r="G7" s="12">
        <v>65</v>
      </c>
      <c r="H7" s="8">
        <v>12.36</v>
      </c>
      <c r="I7" s="12">
        <v>0</v>
      </c>
    </row>
    <row r="8" spans="2:9" ht="15" customHeight="1" x14ac:dyDescent="0.2">
      <c r="B8" t="s">
        <v>77</v>
      </c>
      <c r="C8" s="12">
        <v>1</v>
      </c>
      <c r="D8" s="8">
        <v>0.1</v>
      </c>
      <c r="E8" s="12">
        <v>0</v>
      </c>
      <c r="F8" s="8">
        <v>0</v>
      </c>
      <c r="G8" s="12">
        <v>1</v>
      </c>
      <c r="H8" s="8">
        <v>0.19</v>
      </c>
      <c r="I8" s="12">
        <v>0</v>
      </c>
    </row>
    <row r="9" spans="2:9" ht="15" customHeight="1" x14ac:dyDescent="0.2">
      <c r="B9" t="s">
        <v>78</v>
      </c>
      <c r="C9" s="12">
        <v>15</v>
      </c>
      <c r="D9" s="8">
        <v>1.48</v>
      </c>
      <c r="E9" s="12">
        <v>0</v>
      </c>
      <c r="F9" s="8">
        <v>0</v>
      </c>
      <c r="G9" s="12">
        <v>15</v>
      </c>
      <c r="H9" s="8">
        <v>2.85</v>
      </c>
      <c r="I9" s="12">
        <v>0</v>
      </c>
    </row>
    <row r="10" spans="2:9" ht="15" customHeight="1" x14ac:dyDescent="0.2">
      <c r="B10" t="s">
        <v>79</v>
      </c>
      <c r="C10" s="12">
        <v>8</v>
      </c>
      <c r="D10" s="8">
        <v>0.79</v>
      </c>
      <c r="E10" s="12">
        <v>1</v>
      </c>
      <c r="F10" s="8">
        <v>0.21</v>
      </c>
      <c r="G10" s="12">
        <v>7</v>
      </c>
      <c r="H10" s="8">
        <v>1.33</v>
      </c>
      <c r="I10" s="12">
        <v>0</v>
      </c>
    </row>
    <row r="11" spans="2:9" ht="15" customHeight="1" x14ac:dyDescent="0.2">
      <c r="B11" t="s">
        <v>80</v>
      </c>
      <c r="C11" s="12">
        <v>203</v>
      </c>
      <c r="D11" s="8">
        <v>20.079999999999998</v>
      </c>
      <c r="E11" s="12">
        <v>74</v>
      </c>
      <c r="F11" s="8">
        <v>15.58</v>
      </c>
      <c r="G11" s="12">
        <v>129</v>
      </c>
      <c r="H11" s="8">
        <v>24.52</v>
      </c>
      <c r="I11" s="12">
        <v>0</v>
      </c>
    </row>
    <row r="12" spans="2:9" ht="15" customHeight="1" x14ac:dyDescent="0.2">
      <c r="B12" t="s">
        <v>81</v>
      </c>
      <c r="C12" s="12">
        <v>2</v>
      </c>
      <c r="D12" s="8">
        <v>0.2</v>
      </c>
      <c r="E12" s="12">
        <v>1</v>
      </c>
      <c r="F12" s="8">
        <v>0.21</v>
      </c>
      <c r="G12" s="12">
        <v>1</v>
      </c>
      <c r="H12" s="8">
        <v>0.19</v>
      </c>
      <c r="I12" s="12">
        <v>0</v>
      </c>
    </row>
    <row r="13" spans="2:9" ht="15" customHeight="1" x14ac:dyDescent="0.2">
      <c r="B13" t="s">
        <v>82</v>
      </c>
      <c r="C13" s="12">
        <v>90</v>
      </c>
      <c r="D13" s="8">
        <v>8.9</v>
      </c>
      <c r="E13" s="12">
        <v>26</v>
      </c>
      <c r="F13" s="8">
        <v>5.47</v>
      </c>
      <c r="G13" s="12">
        <v>64</v>
      </c>
      <c r="H13" s="8">
        <v>12.17</v>
      </c>
      <c r="I13" s="12">
        <v>0</v>
      </c>
    </row>
    <row r="14" spans="2:9" ht="15" customHeight="1" x14ac:dyDescent="0.2">
      <c r="B14" t="s">
        <v>83</v>
      </c>
      <c r="C14" s="12">
        <v>43</v>
      </c>
      <c r="D14" s="8">
        <v>4.25</v>
      </c>
      <c r="E14" s="12">
        <v>29</v>
      </c>
      <c r="F14" s="8">
        <v>6.11</v>
      </c>
      <c r="G14" s="12">
        <v>14</v>
      </c>
      <c r="H14" s="8">
        <v>2.66</v>
      </c>
      <c r="I14" s="12">
        <v>0</v>
      </c>
    </row>
    <row r="15" spans="2:9" ht="15" customHeight="1" x14ac:dyDescent="0.2">
      <c r="B15" t="s">
        <v>84</v>
      </c>
      <c r="C15" s="12">
        <v>89</v>
      </c>
      <c r="D15" s="8">
        <v>8.8000000000000007</v>
      </c>
      <c r="E15" s="12">
        <v>70</v>
      </c>
      <c r="F15" s="8">
        <v>14.74</v>
      </c>
      <c r="G15" s="12">
        <v>19</v>
      </c>
      <c r="H15" s="8">
        <v>3.61</v>
      </c>
      <c r="I15" s="12">
        <v>0</v>
      </c>
    </row>
    <row r="16" spans="2:9" ht="15" customHeight="1" x14ac:dyDescent="0.2">
      <c r="B16" t="s">
        <v>85</v>
      </c>
      <c r="C16" s="12">
        <v>137</v>
      </c>
      <c r="D16" s="8">
        <v>13.55</v>
      </c>
      <c r="E16" s="12">
        <v>100</v>
      </c>
      <c r="F16" s="8">
        <v>21.05</v>
      </c>
      <c r="G16" s="12">
        <v>36</v>
      </c>
      <c r="H16" s="8">
        <v>6.84</v>
      </c>
      <c r="I16" s="12">
        <v>0</v>
      </c>
    </row>
    <row r="17" spans="2:9" ht="15" customHeight="1" x14ac:dyDescent="0.2">
      <c r="B17" t="s">
        <v>86</v>
      </c>
      <c r="C17" s="12">
        <v>48</v>
      </c>
      <c r="D17" s="8">
        <v>4.75</v>
      </c>
      <c r="E17" s="12">
        <v>36</v>
      </c>
      <c r="F17" s="8">
        <v>7.58</v>
      </c>
      <c r="G17" s="12">
        <v>10</v>
      </c>
      <c r="H17" s="8">
        <v>1.9</v>
      </c>
      <c r="I17" s="12">
        <v>1</v>
      </c>
    </row>
    <row r="18" spans="2:9" ht="15" customHeight="1" x14ac:dyDescent="0.2">
      <c r="B18" t="s">
        <v>87</v>
      </c>
      <c r="C18" s="12">
        <v>57</v>
      </c>
      <c r="D18" s="8">
        <v>5.64</v>
      </c>
      <c r="E18" s="12">
        <v>35</v>
      </c>
      <c r="F18" s="8">
        <v>7.37</v>
      </c>
      <c r="G18" s="12">
        <v>17</v>
      </c>
      <c r="H18" s="8">
        <v>3.23</v>
      </c>
      <c r="I18" s="12">
        <v>0</v>
      </c>
    </row>
    <row r="19" spans="2:9" ht="15" customHeight="1" x14ac:dyDescent="0.2">
      <c r="B19" t="s">
        <v>88</v>
      </c>
      <c r="C19" s="12">
        <v>41</v>
      </c>
      <c r="D19" s="8">
        <v>4.0599999999999996</v>
      </c>
      <c r="E19" s="12">
        <v>16</v>
      </c>
      <c r="F19" s="8">
        <v>3.37</v>
      </c>
      <c r="G19" s="12">
        <v>23</v>
      </c>
      <c r="H19" s="8">
        <v>4.37</v>
      </c>
      <c r="I19" s="12">
        <v>0</v>
      </c>
    </row>
    <row r="20" spans="2:9" ht="15" customHeight="1" x14ac:dyDescent="0.2">
      <c r="B20" s="9" t="s">
        <v>269</v>
      </c>
      <c r="C20" s="12">
        <f>SUM(LTBL_11238[総数／事業所数])</f>
        <v>1011</v>
      </c>
      <c r="E20" s="12">
        <f>SUBTOTAL(109,LTBL_11238[個人／事業所数])</f>
        <v>475</v>
      </c>
      <c r="G20" s="12">
        <f>SUBTOTAL(109,LTBL_11238[法人／事業所数])</f>
        <v>526</v>
      </c>
      <c r="I20" s="12">
        <f>SUBTOTAL(109,LTBL_11238[法人以外の団体／事業所数])</f>
        <v>1</v>
      </c>
    </row>
    <row r="21" spans="2:9" ht="15" customHeight="1" x14ac:dyDescent="0.2">
      <c r="E21" s="11">
        <f>LTBL_11238[[#Totals],[個人／事業所数]]/LTBL_11238[[#Totals],[総数／事業所数]]</f>
        <v>0.46983184965380809</v>
      </c>
      <c r="G21" s="11">
        <f>LTBL_11238[[#Totals],[法人／事業所数]]/LTBL_11238[[#Totals],[総数／事業所数]]</f>
        <v>0.52027695351137493</v>
      </c>
      <c r="I21" s="11">
        <f>LTBL_11238[[#Totals],[法人以外の団体／事業所数]]/LTBL_11238[[#Totals],[総数／事業所数]]</f>
        <v>9.8911968348170125E-4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107</v>
      </c>
      <c r="D24" s="8">
        <v>10.58</v>
      </c>
      <c r="E24" s="12">
        <v>87</v>
      </c>
      <c r="F24" s="8">
        <v>18.32</v>
      </c>
      <c r="G24" s="12">
        <v>20</v>
      </c>
      <c r="H24" s="8">
        <v>3.8</v>
      </c>
      <c r="I24" s="12">
        <v>0</v>
      </c>
    </row>
    <row r="25" spans="2:9" ht="15" customHeight="1" x14ac:dyDescent="0.2">
      <c r="B25" t="s">
        <v>111</v>
      </c>
      <c r="C25" s="12">
        <v>78</v>
      </c>
      <c r="D25" s="8">
        <v>7.72</v>
      </c>
      <c r="E25" s="12">
        <v>65</v>
      </c>
      <c r="F25" s="8">
        <v>13.68</v>
      </c>
      <c r="G25" s="12">
        <v>13</v>
      </c>
      <c r="H25" s="8">
        <v>2.4700000000000002</v>
      </c>
      <c r="I25" s="12">
        <v>0</v>
      </c>
    </row>
    <row r="26" spans="2:9" ht="15" customHeight="1" x14ac:dyDescent="0.2">
      <c r="B26" t="s">
        <v>98</v>
      </c>
      <c r="C26" s="12">
        <v>77</v>
      </c>
      <c r="D26" s="8">
        <v>7.62</v>
      </c>
      <c r="E26" s="12">
        <v>37</v>
      </c>
      <c r="F26" s="8">
        <v>7.79</v>
      </c>
      <c r="G26" s="12">
        <v>40</v>
      </c>
      <c r="H26" s="8">
        <v>7.6</v>
      </c>
      <c r="I26" s="12">
        <v>0</v>
      </c>
    </row>
    <row r="27" spans="2:9" ht="15" customHeight="1" x14ac:dyDescent="0.2">
      <c r="B27" t="s">
        <v>108</v>
      </c>
      <c r="C27" s="12">
        <v>76</v>
      </c>
      <c r="D27" s="8">
        <v>7.52</v>
      </c>
      <c r="E27" s="12">
        <v>26</v>
      </c>
      <c r="F27" s="8">
        <v>5.47</v>
      </c>
      <c r="G27" s="12">
        <v>50</v>
      </c>
      <c r="H27" s="8">
        <v>9.51</v>
      </c>
      <c r="I27" s="12">
        <v>0</v>
      </c>
    </row>
    <row r="28" spans="2:9" ht="15" customHeight="1" x14ac:dyDescent="0.2">
      <c r="B28" t="s">
        <v>97</v>
      </c>
      <c r="C28" s="12">
        <v>65</v>
      </c>
      <c r="D28" s="8">
        <v>6.43</v>
      </c>
      <c r="E28" s="12">
        <v>15</v>
      </c>
      <c r="F28" s="8">
        <v>3.16</v>
      </c>
      <c r="G28" s="12">
        <v>50</v>
      </c>
      <c r="H28" s="8">
        <v>9.51</v>
      </c>
      <c r="I28" s="12">
        <v>0</v>
      </c>
    </row>
    <row r="29" spans="2:9" ht="15" customHeight="1" x14ac:dyDescent="0.2">
      <c r="B29" t="s">
        <v>106</v>
      </c>
      <c r="C29" s="12">
        <v>58</v>
      </c>
      <c r="D29" s="8">
        <v>5.74</v>
      </c>
      <c r="E29" s="12">
        <v>25</v>
      </c>
      <c r="F29" s="8">
        <v>5.26</v>
      </c>
      <c r="G29" s="12">
        <v>33</v>
      </c>
      <c r="H29" s="8">
        <v>6.27</v>
      </c>
      <c r="I29" s="12">
        <v>0</v>
      </c>
    </row>
    <row r="30" spans="2:9" ht="15" customHeight="1" x14ac:dyDescent="0.2">
      <c r="B30" t="s">
        <v>114</v>
      </c>
      <c r="C30" s="12">
        <v>48</v>
      </c>
      <c r="D30" s="8">
        <v>4.75</v>
      </c>
      <c r="E30" s="12">
        <v>36</v>
      </c>
      <c r="F30" s="8">
        <v>7.58</v>
      </c>
      <c r="G30" s="12">
        <v>10</v>
      </c>
      <c r="H30" s="8">
        <v>1.9</v>
      </c>
      <c r="I30" s="12">
        <v>1</v>
      </c>
    </row>
    <row r="31" spans="2:9" ht="15" customHeight="1" x14ac:dyDescent="0.2">
      <c r="B31" t="s">
        <v>115</v>
      </c>
      <c r="C31" s="12">
        <v>46</v>
      </c>
      <c r="D31" s="8">
        <v>4.55</v>
      </c>
      <c r="E31" s="12">
        <v>35</v>
      </c>
      <c r="F31" s="8">
        <v>7.37</v>
      </c>
      <c r="G31" s="12">
        <v>11</v>
      </c>
      <c r="H31" s="8">
        <v>2.09</v>
      </c>
      <c r="I31" s="12">
        <v>0</v>
      </c>
    </row>
    <row r="32" spans="2:9" ht="15" customHeight="1" x14ac:dyDescent="0.2">
      <c r="B32" t="s">
        <v>99</v>
      </c>
      <c r="C32" s="12">
        <v>43</v>
      </c>
      <c r="D32" s="8">
        <v>4.25</v>
      </c>
      <c r="E32" s="12">
        <v>8</v>
      </c>
      <c r="F32" s="8">
        <v>1.68</v>
      </c>
      <c r="G32" s="12">
        <v>35</v>
      </c>
      <c r="H32" s="8">
        <v>6.65</v>
      </c>
      <c r="I32" s="12">
        <v>0</v>
      </c>
    </row>
    <row r="33" spans="2:9" ht="15" customHeight="1" x14ac:dyDescent="0.2">
      <c r="B33" t="s">
        <v>104</v>
      </c>
      <c r="C33" s="12">
        <v>37</v>
      </c>
      <c r="D33" s="8">
        <v>3.66</v>
      </c>
      <c r="E33" s="12">
        <v>25</v>
      </c>
      <c r="F33" s="8">
        <v>5.26</v>
      </c>
      <c r="G33" s="12">
        <v>12</v>
      </c>
      <c r="H33" s="8">
        <v>2.2799999999999998</v>
      </c>
      <c r="I33" s="12">
        <v>0</v>
      </c>
    </row>
    <row r="34" spans="2:9" ht="15" customHeight="1" x14ac:dyDescent="0.2">
      <c r="B34" t="s">
        <v>105</v>
      </c>
      <c r="C34" s="12">
        <v>35</v>
      </c>
      <c r="D34" s="8">
        <v>3.46</v>
      </c>
      <c r="E34" s="12">
        <v>11</v>
      </c>
      <c r="F34" s="8">
        <v>2.3199999999999998</v>
      </c>
      <c r="G34" s="12">
        <v>24</v>
      </c>
      <c r="H34" s="8">
        <v>4.5599999999999996</v>
      </c>
      <c r="I34" s="12">
        <v>0</v>
      </c>
    </row>
    <row r="35" spans="2:9" ht="15" customHeight="1" x14ac:dyDescent="0.2">
      <c r="B35" t="s">
        <v>113</v>
      </c>
      <c r="C35" s="12">
        <v>26</v>
      </c>
      <c r="D35" s="8">
        <v>2.57</v>
      </c>
      <c r="E35" s="12">
        <v>11</v>
      </c>
      <c r="F35" s="8">
        <v>2.3199999999999998</v>
      </c>
      <c r="G35" s="12">
        <v>15</v>
      </c>
      <c r="H35" s="8">
        <v>2.85</v>
      </c>
      <c r="I35" s="12">
        <v>0</v>
      </c>
    </row>
    <row r="36" spans="2:9" ht="15" customHeight="1" x14ac:dyDescent="0.2">
      <c r="B36" t="s">
        <v>109</v>
      </c>
      <c r="C36" s="12">
        <v>22</v>
      </c>
      <c r="D36" s="8">
        <v>2.1800000000000002</v>
      </c>
      <c r="E36" s="12">
        <v>19</v>
      </c>
      <c r="F36" s="8">
        <v>4</v>
      </c>
      <c r="G36" s="12">
        <v>3</v>
      </c>
      <c r="H36" s="8">
        <v>0.56999999999999995</v>
      </c>
      <c r="I36" s="12">
        <v>0</v>
      </c>
    </row>
    <row r="37" spans="2:9" ht="15" customHeight="1" x14ac:dyDescent="0.2">
      <c r="B37" t="s">
        <v>116</v>
      </c>
      <c r="C37" s="12">
        <v>22</v>
      </c>
      <c r="D37" s="8">
        <v>2.1800000000000002</v>
      </c>
      <c r="E37" s="12">
        <v>13</v>
      </c>
      <c r="F37" s="8">
        <v>2.74</v>
      </c>
      <c r="G37" s="12">
        <v>9</v>
      </c>
      <c r="H37" s="8">
        <v>1.71</v>
      </c>
      <c r="I37" s="12">
        <v>0</v>
      </c>
    </row>
    <row r="38" spans="2:9" ht="15" customHeight="1" x14ac:dyDescent="0.2">
      <c r="B38" t="s">
        <v>103</v>
      </c>
      <c r="C38" s="12">
        <v>19</v>
      </c>
      <c r="D38" s="8">
        <v>1.88</v>
      </c>
      <c r="E38" s="12">
        <v>10</v>
      </c>
      <c r="F38" s="8">
        <v>2.11</v>
      </c>
      <c r="G38" s="12">
        <v>9</v>
      </c>
      <c r="H38" s="8">
        <v>1.71</v>
      </c>
      <c r="I38" s="12">
        <v>0</v>
      </c>
    </row>
    <row r="39" spans="2:9" ht="15" customHeight="1" x14ac:dyDescent="0.2">
      <c r="B39" t="s">
        <v>110</v>
      </c>
      <c r="C39" s="12">
        <v>19</v>
      </c>
      <c r="D39" s="8">
        <v>1.88</v>
      </c>
      <c r="E39" s="12">
        <v>10</v>
      </c>
      <c r="F39" s="8">
        <v>2.11</v>
      </c>
      <c r="G39" s="12">
        <v>9</v>
      </c>
      <c r="H39" s="8">
        <v>1.71</v>
      </c>
      <c r="I39" s="12">
        <v>0</v>
      </c>
    </row>
    <row r="40" spans="2:9" ht="15" customHeight="1" x14ac:dyDescent="0.2">
      <c r="B40" t="s">
        <v>120</v>
      </c>
      <c r="C40" s="12">
        <v>15</v>
      </c>
      <c r="D40" s="8">
        <v>1.48</v>
      </c>
      <c r="E40" s="12">
        <v>6</v>
      </c>
      <c r="F40" s="8">
        <v>1.26</v>
      </c>
      <c r="G40" s="12">
        <v>9</v>
      </c>
      <c r="H40" s="8">
        <v>1.71</v>
      </c>
      <c r="I40" s="12">
        <v>0</v>
      </c>
    </row>
    <row r="41" spans="2:9" ht="15" customHeight="1" x14ac:dyDescent="0.2">
      <c r="B41" t="s">
        <v>100</v>
      </c>
      <c r="C41" s="12">
        <v>14</v>
      </c>
      <c r="D41" s="8">
        <v>1.38</v>
      </c>
      <c r="E41" s="12">
        <v>6</v>
      </c>
      <c r="F41" s="8">
        <v>1.26</v>
      </c>
      <c r="G41" s="12">
        <v>8</v>
      </c>
      <c r="H41" s="8">
        <v>1.52</v>
      </c>
      <c r="I41" s="12">
        <v>0</v>
      </c>
    </row>
    <row r="42" spans="2:9" ht="15" customHeight="1" x14ac:dyDescent="0.2">
      <c r="B42" t="s">
        <v>101</v>
      </c>
      <c r="C42" s="12">
        <v>12</v>
      </c>
      <c r="D42" s="8">
        <v>1.19</v>
      </c>
      <c r="E42" s="12">
        <v>0</v>
      </c>
      <c r="F42" s="8">
        <v>0</v>
      </c>
      <c r="G42" s="12">
        <v>12</v>
      </c>
      <c r="H42" s="8">
        <v>2.2799999999999998</v>
      </c>
      <c r="I42" s="12">
        <v>0</v>
      </c>
    </row>
    <row r="43" spans="2:9" ht="15" customHeight="1" x14ac:dyDescent="0.2">
      <c r="B43" t="s">
        <v>102</v>
      </c>
      <c r="C43" s="12">
        <v>12</v>
      </c>
      <c r="D43" s="8">
        <v>1.19</v>
      </c>
      <c r="E43" s="12">
        <v>1</v>
      </c>
      <c r="F43" s="8">
        <v>0.21</v>
      </c>
      <c r="G43" s="12">
        <v>11</v>
      </c>
      <c r="H43" s="8">
        <v>2.09</v>
      </c>
      <c r="I43" s="12">
        <v>0</v>
      </c>
    </row>
    <row r="44" spans="2:9" ht="15" customHeight="1" x14ac:dyDescent="0.2">
      <c r="B44" t="s">
        <v>122</v>
      </c>
      <c r="C44" s="12">
        <v>12</v>
      </c>
      <c r="D44" s="8">
        <v>1.19</v>
      </c>
      <c r="E44" s="12">
        <v>0</v>
      </c>
      <c r="F44" s="8">
        <v>0</v>
      </c>
      <c r="G44" s="12">
        <v>12</v>
      </c>
      <c r="H44" s="8">
        <v>2.2799999999999998</v>
      </c>
      <c r="I44" s="12">
        <v>0</v>
      </c>
    </row>
    <row r="47" spans="2:9" ht="33" customHeight="1" x14ac:dyDescent="0.2">
      <c r="B47" t="s">
        <v>271</v>
      </c>
      <c r="C47" s="10" t="s">
        <v>90</v>
      </c>
      <c r="D47" s="10" t="s">
        <v>91</v>
      </c>
      <c r="E47" s="10" t="s">
        <v>92</v>
      </c>
      <c r="F47" s="10" t="s">
        <v>93</v>
      </c>
      <c r="G47" s="10" t="s">
        <v>94</v>
      </c>
      <c r="H47" s="10" t="s">
        <v>95</v>
      </c>
      <c r="I47" s="10" t="s">
        <v>96</v>
      </c>
    </row>
    <row r="48" spans="2:9" ht="15" customHeight="1" x14ac:dyDescent="0.2">
      <c r="B48" t="s">
        <v>173</v>
      </c>
      <c r="C48" s="12">
        <v>51</v>
      </c>
      <c r="D48" s="8">
        <v>5.04</v>
      </c>
      <c r="E48" s="12">
        <v>41</v>
      </c>
      <c r="F48" s="8">
        <v>8.6300000000000008</v>
      </c>
      <c r="G48" s="12">
        <v>10</v>
      </c>
      <c r="H48" s="8">
        <v>1.9</v>
      </c>
      <c r="I48" s="12">
        <v>0</v>
      </c>
    </row>
    <row r="49" spans="2:9" ht="15" customHeight="1" x14ac:dyDescent="0.2">
      <c r="B49" t="s">
        <v>167</v>
      </c>
      <c r="C49" s="12">
        <v>43</v>
      </c>
      <c r="D49" s="8">
        <v>4.25</v>
      </c>
      <c r="E49" s="12">
        <v>20</v>
      </c>
      <c r="F49" s="8">
        <v>4.21</v>
      </c>
      <c r="G49" s="12">
        <v>23</v>
      </c>
      <c r="H49" s="8">
        <v>4.37</v>
      </c>
      <c r="I49" s="12">
        <v>0</v>
      </c>
    </row>
    <row r="50" spans="2:9" ht="15" customHeight="1" x14ac:dyDescent="0.2">
      <c r="B50" t="s">
        <v>172</v>
      </c>
      <c r="C50" s="12">
        <v>38</v>
      </c>
      <c r="D50" s="8">
        <v>3.76</v>
      </c>
      <c r="E50" s="12">
        <v>35</v>
      </c>
      <c r="F50" s="8">
        <v>7.37</v>
      </c>
      <c r="G50" s="12">
        <v>3</v>
      </c>
      <c r="H50" s="8">
        <v>0.56999999999999995</v>
      </c>
      <c r="I50" s="12">
        <v>0</v>
      </c>
    </row>
    <row r="51" spans="2:9" ht="15" customHeight="1" x14ac:dyDescent="0.2">
      <c r="B51" t="s">
        <v>174</v>
      </c>
      <c r="C51" s="12">
        <v>35</v>
      </c>
      <c r="D51" s="8">
        <v>3.46</v>
      </c>
      <c r="E51" s="12">
        <v>28</v>
      </c>
      <c r="F51" s="8">
        <v>5.89</v>
      </c>
      <c r="G51" s="12">
        <v>6</v>
      </c>
      <c r="H51" s="8">
        <v>1.1399999999999999</v>
      </c>
      <c r="I51" s="12">
        <v>1</v>
      </c>
    </row>
    <row r="52" spans="2:9" ht="15" customHeight="1" x14ac:dyDescent="0.2">
      <c r="B52" t="s">
        <v>175</v>
      </c>
      <c r="C52" s="12">
        <v>31</v>
      </c>
      <c r="D52" s="8">
        <v>3.07</v>
      </c>
      <c r="E52" s="12">
        <v>24</v>
      </c>
      <c r="F52" s="8">
        <v>5.05</v>
      </c>
      <c r="G52" s="12">
        <v>7</v>
      </c>
      <c r="H52" s="8">
        <v>1.33</v>
      </c>
      <c r="I52" s="12">
        <v>0</v>
      </c>
    </row>
    <row r="53" spans="2:9" ht="15" customHeight="1" x14ac:dyDescent="0.2">
      <c r="B53" t="s">
        <v>161</v>
      </c>
      <c r="C53" s="12">
        <v>25</v>
      </c>
      <c r="D53" s="8">
        <v>2.4700000000000002</v>
      </c>
      <c r="E53" s="12">
        <v>5</v>
      </c>
      <c r="F53" s="8">
        <v>1.05</v>
      </c>
      <c r="G53" s="12">
        <v>20</v>
      </c>
      <c r="H53" s="8">
        <v>3.8</v>
      </c>
      <c r="I53" s="12">
        <v>0</v>
      </c>
    </row>
    <row r="54" spans="2:9" ht="15" customHeight="1" x14ac:dyDescent="0.2">
      <c r="B54" t="s">
        <v>169</v>
      </c>
      <c r="C54" s="12">
        <v>24</v>
      </c>
      <c r="D54" s="8">
        <v>2.37</v>
      </c>
      <c r="E54" s="12">
        <v>19</v>
      </c>
      <c r="F54" s="8">
        <v>4</v>
      </c>
      <c r="G54" s="12">
        <v>5</v>
      </c>
      <c r="H54" s="8">
        <v>0.95</v>
      </c>
      <c r="I54" s="12">
        <v>0</v>
      </c>
    </row>
    <row r="55" spans="2:9" ht="15" customHeight="1" x14ac:dyDescent="0.2">
      <c r="B55" t="s">
        <v>163</v>
      </c>
      <c r="C55" s="12">
        <v>22</v>
      </c>
      <c r="D55" s="8">
        <v>2.1800000000000002</v>
      </c>
      <c r="E55" s="12">
        <v>6</v>
      </c>
      <c r="F55" s="8">
        <v>1.26</v>
      </c>
      <c r="G55" s="12">
        <v>16</v>
      </c>
      <c r="H55" s="8">
        <v>3.04</v>
      </c>
      <c r="I55" s="12">
        <v>0</v>
      </c>
    </row>
    <row r="56" spans="2:9" ht="15" customHeight="1" x14ac:dyDescent="0.2">
      <c r="B56" t="s">
        <v>176</v>
      </c>
      <c r="C56" s="12">
        <v>22</v>
      </c>
      <c r="D56" s="8">
        <v>2.1800000000000002</v>
      </c>
      <c r="E56" s="12">
        <v>13</v>
      </c>
      <c r="F56" s="8">
        <v>2.74</v>
      </c>
      <c r="G56" s="12">
        <v>9</v>
      </c>
      <c r="H56" s="8">
        <v>1.71</v>
      </c>
      <c r="I56" s="12">
        <v>0</v>
      </c>
    </row>
    <row r="57" spans="2:9" ht="15" customHeight="1" x14ac:dyDescent="0.2">
      <c r="B57" t="s">
        <v>170</v>
      </c>
      <c r="C57" s="12">
        <v>21</v>
      </c>
      <c r="D57" s="8">
        <v>2.08</v>
      </c>
      <c r="E57" s="12">
        <v>17</v>
      </c>
      <c r="F57" s="8">
        <v>3.58</v>
      </c>
      <c r="G57" s="12">
        <v>4</v>
      </c>
      <c r="H57" s="8">
        <v>0.76</v>
      </c>
      <c r="I57" s="12">
        <v>0</v>
      </c>
    </row>
    <row r="58" spans="2:9" ht="15" customHeight="1" x14ac:dyDescent="0.2">
      <c r="B58" t="s">
        <v>157</v>
      </c>
      <c r="C58" s="12">
        <v>18</v>
      </c>
      <c r="D58" s="8">
        <v>1.78</v>
      </c>
      <c r="E58" s="12">
        <v>1</v>
      </c>
      <c r="F58" s="8">
        <v>0.21</v>
      </c>
      <c r="G58" s="12">
        <v>17</v>
      </c>
      <c r="H58" s="8">
        <v>3.23</v>
      </c>
      <c r="I58" s="12">
        <v>0</v>
      </c>
    </row>
    <row r="59" spans="2:9" ht="15" customHeight="1" x14ac:dyDescent="0.2">
      <c r="B59" t="s">
        <v>171</v>
      </c>
      <c r="C59" s="12">
        <v>17</v>
      </c>
      <c r="D59" s="8">
        <v>1.68</v>
      </c>
      <c r="E59" s="12">
        <v>10</v>
      </c>
      <c r="F59" s="8">
        <v>2.11</v>
      </c>
      <c r="G59" s="12">
        <v>7</v>
      </c>
      <c r="H59" s="8">
        <v>1.33</v>
      </c>
      <c r="I59" s="12">
        <v>0</v>
      </c>
    </row>
    <row r="60" spans="2:9" ht="15" customHeight="1" x14ac:dyDescent="0.2">
      <c r="B60" t="s">
        <v>159</v>
      </c>
      <c r="C60" s="12">
        <v>16</v>
      </c>
      <c r="D60" s="8">
        <v>1.58</v>
      </c>
      <c r="E60" s="12">
        <v>11</v>
      </c>
      <c r="F60" s="8">
        <v>2.3199999999999998</v>
      </c>
      <c r="G60" s="12">
        <v>5</v>
      </c>
      <c r="H60" s="8">
        <v>0.95</v>
      </c>
      <c r="I60" s="12">
        <v>0</v>
      </c>
    </row>
    <row r="61" spans="2:9" ht="15" customHeight="1" x14ac:dyDescent="0.2">
      <c r="B61" t="s">
        <v>216</v>
      </c>
      <c r="C61" s="12">
        <v>16</v>
      </c>
      <c r="D61" s="8">
        <v>1.58</v>
      </c>
      <c r="E61" s="12">
        <v>8</v>
      </c>
      <c r="F61" s="8">
        <v>1.68</v>
      </c>
      <c r="G61" s="12">
        <v>8</v>
      </c>
      <c r="H61" s="8">
        <v>1.52</v>
      </c>
      <c r="I61" s="12">
        <v>0</v>
      </c>
    </row>
    <row r="62" spans="2:9" ht="15" customHeight="1" x14ac:dyDescent="0.2">
      <c r="B62" t="s">
        <v>182</v>
      </c>
      <c r="C62" s="12">
        <v>16</v>
      </c>
      <c r="D62" s="8">
        <v>1.58</v>
      </c>
      <c r="E62" s="12">
        <v>7</v>
      </c>
      <c r="F62" s="8">
        <v>1.47</v>
      </c>
      <c r="G62" s="12">
        <v>9</v>
      </c>
      <c r="H62" s="8">
        <v>1.71</v>
      </c>
      <c r="I62" s="12">
        <v>0</v>
      </c>
    </row>
    <row r="63" spans="2:9" ht="15" customHeight="1" x14ac:dyDescent="0.2">
      <c r="B63" t="s">
        <v>164</v>
      </c>
      <c r="C63" s="12">
        <v>16</v>
      </c>
      <c r="D63" s="8">
        <v>1.58</v>
      </c>
      <c r="E63" s="12">
        <v>12</v>
      </c>
      <c r="F63" s="8">
        <v>2.5299999999999998</v>
      </c>
      <c r="G63" s="12">
        <v>4</v>
      </c>
      <c r="H63" s="8">
        <v>0.76</v>
      </c>
      <c r="I63" s="12">
        <v>0</v>
      </c>
    </row>
    <row r="64" spans="2:9" ht="15" customHeight="1" x14ac:dyDescent="0.2">
      <c r="B64" t="s">
        <v>166</v>
      </c>
      <c r="C64" s="12">
        <v>15</v>
      </c>
      <c r="D64" s="8">
        <v>1.48</v>
      </c>
      <c r="E64" s="12">
        <v>2</v>
      </c>
      <c r="F64" s="8">
        <v>0.42</v>
      </c>
      <c r="G64" s="12">
        <v>13</v>
      </c>
      <c r="H64" s="8">
        <v>2.4700000000000002</v>
      </c>
      <c r="I64" s="12">
        <v>0</v>
      </c>
    </row>
    <row r="65" spans="2:9" ht="15" customHeight="1" x14ac:dyDescent="0.2">
      <c r="B65" t="s">
        <v>158</v>
      </c>
      <c r="C65" s="12">
        <v>14</v>
      </c>
      <c r="D65" s="8">
        <v>1.38</v>
      </c>
      <c r="E65" s="12">
        <v>0</v>
      </c>
      <c r="F65" s="8">
        <v>0</v>
      </c>
      <c r="G65" s="12">
        <v>14</v>
      </c>
      <c r="H65" s="8">
        <v>2.66</v>
      </c>
      <c r="I65" s="12">
        <v>0</v>
      </c>
    </row>
    <row r="66" spans="2:9" ht="15" customHeight="1" x14ac:dyDescent="0.2">
      <c r="B66" t="s">
        <v>160</v>
      </c>
      <c r="C66" s="12">
        <v>14</v>
      </c>
      <c r="D66" s="8">
        <v>1.38</v>
      </c>
      <c r="E66" s="12">
        <v>2</v>
      </c>
      <c r="F66" s="8">
        <v>0.42</v>
      </c>
      <c r="G66" s="12">
        <v>12</v>
      </c>
      <c r="H66" s="8">
        <v>2.2799999999999998</v>
      </c>
      <c r="I66" s="12">
        <v>0</v>
      </c>
    </row>
    <row r="67" spans="2:9" ht="15" customHeight="1" x14ac:dyDescent="0.2">
      <c r="B67" t="s">
        <v>162</v>
      </c>
      <c r="C67" s="12">
        <v>13</v>
      </c>
      <c r="D67" s="8">
        <v>1.29</v>
      </c>
      <c r="E67" s="12">
        <v>8</v>
      </c>
      <c r="F67" s="8">
        <v>1.68</v>
      </c>
      <c r="G67" s="12">
        <v>5</v>
      </c>
      <c r="H67" s="8">
        <v>0.95</v>
      </c>
      <c r="I67" s="12">
        <v>0</v>
      </c>
    </row>
    <row r="68" spans="2:9" ht="15" customHeight="1" x14ac:dyDescent="0.2">
      <c r="B68" t="s">
        <v>168</v>
      </c>
      <c r="C68" s="12">
        <v>13</v>
      </c>
      <c r="D68" s="8">
        <v>1.29</v>
      </c>
      <c r="E68" s="12">
        <v>2</v>
      </c>
      <c r="F68" s="8">
        <v>0.42</v>
      </c>
      <c r="G68" s="12">
        <v>11</v>
      </c>
      <c r="H68" s="8">
        <v>2.09</v>
      </c>
      <c r="I68" s="12">
        <v>0</v>
      </c>
    </row>
    <row r="69" spans="2:9" ht="15" customHeight="1" x14ac:dyDescent="0.2">
      <c r="B69" t="s">
        <v>178</v>
      </c>
      <c r="C69" s="12">
        <v>13</v>
      </c>
      <c r="D69" s="8">
        <v>1.29</v>
      </c>
      <c r="E69" s="12">
        <v>6</v>
      </c>
      <c r="F69" s="8">
        <v>1.26</v>
      </c>
      <c r="G69" s="12">
        <v>7</v>
      </c>
      <c r="H69" s="8">
        <v>1.33</v>
      </c>
      <c r="I69" s="12">
        <v>0</v>
      </c>
    </row>
    <row r="70" spans="2:9" ht="15" customHeight="1" x14ac:dyDescent="0.2">
      <c r="B70" t="s">
        <v>192</v>
      </c>
      <c r="C70" s="12">
        <v>13</v>
      </c>
      <c r="D70" s="8">
        <v>1.29</v>
      </c>
      <c r="E70" s="12">
        <v>12</v>
      </c>
      <c r="F70" s="8">
        <v>2.5299999999999998</v>
      </c>
      <c r="G70" s="12">
        <v>1</v>
      </c>
      <c r="H70" s="8">
        <v>0.19</v>
      </c>
      <c r="I70" s="12">
        <v>0</v>
      </c>
    </row>
    <row r="72" spans="2:9" ht="15" customHeight="1" x14ac:dyDescent="0.2">
      <c r="B72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B87A1-CE4C-420B-8AA5-47423137163E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316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259</v>
      </c>
      <c r="D6" s="8">
        <v>16.690000000000001</v>
      </c>
      <c r="E6" s="12">
        <v>54</v>
      </c>
      <c r="F6" s="8">
        <v>7.38</v>
      </c>
      <c r="G6" s="12">
        <v>205</v>
      </c>
      <c r="H6" s="8">
        <v>25.34</v>
      </c>
      <c r="I6" s="12">
        <v>0</v>
      </c>
    </row>
    <row r="7" spans="2:9" ht="15" customHeight="1" x14ac:dyDescent="0.2">
      <c r="B7" t="s">
        <v>76</v>
      </c>
      <c r="C7" s="12">
        <v>121</v>
      </c>
      <c r="D7" s="8">
        <v>7.8</v>
      </c>
      <c r="E7" s="12">
        <v>28</v>
      </c>
      <c r="F7" s="8">
        <v>3.83</v>
      </c>
      <c r="G7" s="12">
        <v>93</v>
      </c>
      <c r="H7" s="8">
        <v>11.5</v>
      </c>
      <c r="I7" s="12">
        <v>0</v>
      </c>
    </row>
    <row r="8" spans="2:9" ht="15" customHeight="1" x14ac:dyDescent="0.2">
      <c r="B8" t="s">
        <v>77</v>
      </c>
      <c r="C8" s="12">
        <v>2</v>
      </c>
      <c r="D8" s="8">
        <v>0.13</v>
      </c>
      <c r="E8" s="12">
        <v>0</v>
      </c>
      <c r="F8" s="8">
        <v>0</v>
      </c>
      <c r="G8" s="12">
        <v>2</v>
      </c>
      <c r="H8" s="8">
        <v>0.25</v>
      </c>
      <c r="I8" s="12">
        <v>0</v>
      </c>
    </row>
    <row r="9" spans="2:9" ht="15" customHeight="1" x14ac:dyDescent="0.2">
      <c r="B9" t="s">
        <v>78</v>
      </c>
      <c r="C9" s="12">
        <v>10</v>
      </c>
      <c r="D9" s="8">
        <v>0.64</v>
      </c>
      <c r="E9" s="12">
        <v>0</v>
      </c>
      <c r="F9" s="8">
        <v>0</v>
      </c>
      <c r="G9" s="12">
        <v>10</v>
      </c>
      <c r="H9" s="8">
        <v>1.24</v>
      </c>
      <c r="I9" s="12">
        <v>0</v>
      </c>
    </row>
    <row r="10" spans="2:9" ht="15" customHeight="1" x14ac:dyDescent="0.2">
      <c r="B10" t="s">
        <v>79</v>
      </c>
      <c r="C10" s="12">
        <v>9</v>
      </c>
      <c r="D10" s="8">
        <v>0.57999999999999996</v>
      </c>
      <c r="E10" s="12">
        <v>1</v>
      </c>
      <c r="F10" s="8">
        <v>0.14000000000000001</v>
      </c>
      <c r="G10" s="12">
        <v>8</v>
      </c>
      <c r="H10" s="8">
        <v>0.99</v>
      </c>
      <c r="I10" s="12">
        <v>0</v>
      </c>
    </row>
    <row r="11" spans="2:9" ht="15" customHeight="1" x14ac:dyDescent="0.2">
      <c r="B11" t="s">
        <v>80</v>
      </c>
      <c r="C11" s="12">
        <v>296</v>
      </c>
      <c r="D11" s="8">
        <v>19.07</v>
      </c>
      <c r="E11" s="12">
        <v>120</v>
      </c>
      <c r="F11" s="8">
        <v>16.39</v>
      </c>
      <c r="G11" s="12">
        <v>176</v>
      </c>
      <c r="H11" s="8">
        <v>21.76</v>
      </c>
      <c r="I11" s="12">
        <v>0</v>
      </c>
    </row>
    <row r="12" spans="2:9" ht="15" customHeight="1" x14ac:dyDescent="0.2">
      <c r="B12" t="s">
        <v>81</v>
      </c>
      <c r="C12" s="12">
        <v>8</v>
      </c>
      <c r="D12" s="8">
        <v>0.52</v>
      </c>
      <c r="E12" s="12">
        <v>1</v>
      </c>
      <c r="F12" s="8">
        <v>0.14000000000000001</v>
      </c>
      <c r="G12" s="12">
        <v>7</v>
      </c>
      <c r="H12" s="8">
        <v>0.87</v>
      </c>
      <c r="I12" s="12">
        <v>0</v>
      </c>
    </row>
    <row r="13" spans="2:9" ht="15" customHeight="1" x14ac:dyDescent="0.2">
      <c r="B13" t="s">
        <v>82</v>
      </c>
      <c r="C13" s="12">
        <v>132</v>
      </c>
      <c r="D13" s="8">
        <v>8.51</v>
      </c>
      <c r="E13" s="12">
        <v>21</v>
      </c>
      <c r="F13" s="8">
        <v>2.87</v>
      </c>
      <c r="G13" s="12">
        <v>111</v>
      </c>
      <c r="H13" s="8">
        <v>13.72</v>
      </c>
      <c r="I13" s="12">
        <v>0</v>
      </c>
    </row>
    <row r="14" spans="2:9" ht="15" customHeight="1" x14ac:dyDescent="0.2">
      <c r="B14" t="s">
        <v>83</v>
      </c>
      <c r="C14" s="12">
        <v>78</v>
      </c>
      <c r="D14" s="8">
        <v>5.03</v>
      </c>
      <c r="E14" s="12">
        <v>37</v>
      </c>
      <c r="F14" s="8">
        <v>5.05</v>
      </c>
      <c r="G14" s="12">
        <v>41</v>
      </c>
      <c r="H14" s="8">
        <v>5.07</v>
      </c>
      <c r="I14" s="12">
        <v>0</v>
      </c>
    </row>
    <row r="15" spans="2:9" ht="15" customHeight="1" x14ac:dyDescent="0.2">
      <c r="B15" t="s">
        <v>84</v>
      </c>
      <c r="C15" s="12">
        <v>207</v>
      </c>
      <c r="D15" s="8">
        <v>13.34</v>
      </c>
      <c r="E15" s="12">
        <v>157</v>
      </c>
      <c r="F15" s="8">
        <v>21.45</v>
      </c>
      <c r="G15" s="12">
        <v>50</v>
      </c>
      <c r="H15" s="8">
        <v>6.18</v>
      </c>
      <c r="I15" s="12">
        <v>0</v>
      </c>
    </row>
    <row r="16" spans="2:9" ht="15" customHeight="1" x14ac:dyDescent="0.2">
      <c r="B16" t="s">
        <v>85</v>
      </c>
      <c r="C16" s="12">
        <v>227</v>
      </c>
      <c r="D16" s="8">
        <v>14.63</v>
      </c>
      <c r="E16" s="12">
        <v>191</v>
      </c>
      <c r="F16" s="8">
        <v>26.09</v>
      </c>
      <c r="G16" s="12">
        <v>36</v>
      </c>
      <c r="H16" s="8">
        <v>4.45</v>
      </c>
      <c r="I16" s="12">
        <v>0</v>
      </c>
    </row>
    <row r="17" spans="2:9" ht="15" customHeight="1" x14ac:dyDescent="0.2">
      <c r="B17" t="s">
        <v>86</v>
      </c>
      <c r="C17" s="12">
        <v>61</v>
      </c>
      <c r="D17" s="8">
        <v>3.93</v>
      </c>
      <c r="E17" s="12">
        <v>36</v>
      </c>
      <c r="F17" s="8">
        <v>4.92</v>
      </c>
      <c r="G17" s="12">
        <v>18</v>
      </c>
      <c r="H17" s="8">
        <v>2.2200000000000002</v>
      </c>
      <c r="I17" s="12">
        <v>0</v>
      </c>
    </row>
    <row r="18" spans="2:9" ht="15" customHeight="1" x14ac:dyDescent="0.2">
      <c r="B18" t="s">
        <v>87</v>
      </c>
      <c r="C18" s="12">
        <v>100</v>
      </c>
      <c r="D18" s="8">
        <v>6.44</v>
      </c>
      <c r="E18" s="12">
        <v>70</v>
      </c>
      <c r="F18" s="8">
        <v>9.56</v>
      </c>
      <c r="G18" s="12">
        <v>30</v>
      </c>
      <c r="H18" s="8">
        <v>3.71</v>
      </c>
      <c r="I18" s="12">
        <v>0</v>
      </c>
    </row>
    <row r="19" spans="2:9" ht="15" customHeight="1" x14ac:dyDescent="0.2">
      <c r="B19" t="s">
        <v>88</v>
      </c>
      <c r="C19" s="12">
        <v>42</v>
      </c>
      <c r="D19" s="8">
        <v>2.71</v>
      </c>
      <c r="E19" s="12">
        <v>16</v>
      </c>
      <c r="F19" s="8">
        <v>2.19</v>
      </c>
      <c r="G19" s="12">
        <v>22</v>
      </c>
      <c r="H19" s="8">
        <v>2.72</v>
      </c>
      <c r="I19" s="12">
        <v>0</v>
      </c>
    </row>
    <row r="20" spans="2:9" ht="15" customHeight="1" x14ac:dyDescent="0.2">
      <c r="B20" s="9" t="s">
        <v>269</v>
      </c>
      <c r="C20" s="12">
        <f>SUM(LTBL_11239[総数／事業所数])</f>
        <v>1552</v>
      </c>
      <c r="E20" s="12">
        <f>SUBTOTAL(109,LTBL_11239[個人／事業所数])</f>
        <v>732</v>
      </c>
      <c r="G20" s="12">
        <f>SUBTOTAL(109,LTBL_11239[法人／事業所数])</f>
        <v>809</v>
      </c>
      <c r="I20" s="12">
        <f>SUBTOTAL(109,LTBL_11239[法人以外の団体／事業所数])</f>
        <v>0</v>
      </c>
    </row>
    <row r="21" spans="2:9" ht="15" customHeight="1" x14ac:dyDescent="0.2">
      <c r="E21" s="11">
        <f>LTBL_11239[[#Totals],[個人／事業所数]]/LTBL_11239[[#Totals],[総数／事業所数]]</f>
        <v>0.47164948453608246</v>
      </c>
      <c r="G21" s="11">
        <f>LTBL_11239[[#Totals],[法人／事業所数]]/LTBL_11239[[#Totals],[総数／事業所数]]</f>
        <v>0.52126288659793818</v>
      </c>
      <c r="I21" s="11">
        <f>LTBL_11239[[#Totals],[法人以外の団体／事業所数]]/LTBL_11239[[#Totals],[総数／事業所数]]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192</v>
      </c>
      <c r="D24" s="8">
        <v>12.37</v>
      </c>
      <c r="E24" s="12">
        <v>171</v>
      </c>
      <c r="F24" s="8">
        <v>23.36</v>
      </c>
      <c r="G24" s="12">
        <v>21</v>
      </c>
      <c r="H24" s="8">
        <v>2.6</v>
      </c>
      <c r="I24" s="12">
        <v>0</v>
      </c>
    </row>
    <row r="25" spans="2:9" ht="15" customHeight="1" x14ac:dyDescent="0.2">
      <c r="B25" t="s">
        <v>111</v>
      </c>
      <c r="C25" s="12">
        <v>190</v>
      </c>
      <c r="D25" s="8">
        <v>12.24</v>
      </c>
      <c r="E25" s="12">
        <v>155</v>
      </c>
      <c r="F25" s="8">
        <v>21.17</v>
      </c>
      <c r="G25" s="12">
        <v>35</v>
      </c>
      <c r="H25" s="8">
        <v>4.33</v>
      </c>
      <c r="I25" s="12">
        <v>0</v>
      </c>
    </row>
    <row r="26" spans="2:9" ht="15" customHeight="1" x14ac:dyDescent="0.2">
      <c r="B26" t="s">
        <v>106</v>
      </c>
      <c r="C26" s="12">
        <v>108</v>
      </c>
      <c r="D26" s="8">
        <v>6.96</v>
      </c>
      <c r="E26" s="12">
        <v>44</v>
      </c>
      <c r="F26" s="8">
        <v>6.01</v>
      </c>
      <c r="G26" s="12">
        <v>64</v>
      </c>
      <c r="H26" s="8">
        <v>7.91</v>
      </c>
      <c r="I26" s="12">
        <v>0</v>
      </c>
    </row>
    <row r="27" spans="2:9" ht="15" customHeight="1" x14ac:dyDescent="0.2">
      <c r="B27" t="s">
        <v>98</v>
      </c>
      <c r="C27" s="12">
        <v>93</v>
      </c>
      <c r="D27" s="8">
        <v>5.99</v>
      </c>
      <c r="E27" s="12">
        <v>32</v>
      </c>
      <c r="F27" s="8">
        <v>4.37</v>
      </c>
      <c r="G27" s="12">
        <v>61</v>
      </c>
      <c r="H27" s="8">
        <v>7.54</v>
      </c>
      <c r="I27" s="12">
        <v>0</v>
      </c>
    </row>
    <row r="28" spans="2:9" ht="15" customHeight="1" x14ac:dyDescent="0.2">
      <c r="B28" t="s">
        <v>108</v>
      </c>
      <c r="C28" s="12">
        <v>93</v>
      </c>
      <c r="D28" s="8">
        <v>5.99</v>
      </c>
      <c r="E28" s="12">
        <v>18</v>
      </c>
      <c r="F28" s="8">
        <v>2.46</v>
      </c>
      <c r="G28" s="12">
        <v>75</v>
      </c>
      <c r="H28" s="8">
        <v>9.27</v>
      </c>
      <c r="I28" s="12">
        <v>0</v>
      </c>
    </row>
    <row r="29" spans="2:9" ht="15" customHeight="1" x14ac:dyDescent="0.2">
      <c r="B29" t="s">
        <v>97</v>
      </c>
      <c r="C29" s="12">
        <v>89</v>
      </c>
      <c r="D29" s="8">
        <v>5.73</v>
      </c>
      <c r="E29" s="12">
        <v>13</v>
      </c>
      <c r="F29" s="8">
        <v>1.78</v>
      </c>
      <c r="G29" s="12">
        <v>76</v>
      </c>
      <c r="H29" s="8">
        <v>9.39</v>
      </c>
      <c r="I29" s="12">
        <v>0</v>
      </c>
    </row>
    <row r="30" spans="2:9" ht="15" customHeight="1" x14ac:dyDescent="0.2">
      <c r="B30" t="s">
        <v>115</v>
      </c>
      <c r="C30" s="12">
        <v>82</v>
      </c>
      <c r="D30" s="8">
        <v>5.28</v>
      </c>
      <c r="E30" s="12">
        <v>70</v>
      </c>
      <c r="F30" s="8">
        <v>9.56</v>
      </c>
      <c r="G30" s="12">
        <v>12</v>
      </c>
      <c r="H30" s="8">
        <v>1.48</v>
      </c>
      <c r="I30" s="12">
        <v>0</v>
      </c>
    </row>
    <row r="31" spans="2:9" ht="15" customHeight="1" x14ac:dyDescent="0.2">
      <c r="B31" t="s">
        <v>99</v>
      </c>
      <c r="C31" s="12">
        <v>77</v>
      </c>
      <c r="D31" s="8">
        <v>4.96</v>
      </c>
      <c r="E31" s="12">
        <v>9</v>
      </c>
      <c r="F31" s="8">
        <v>1.23</v>
      </c>
      <c r="G31" s="12">
        <v>68</v>
      </c>
      <c r="H31" s="8">
        <v>8.41</v>
      </c>
      <c r="I31" s="12">
        <v>0</v>
      </c>
    </row>
    <row r="32" spans="2:9" ht="15" customHeight="1" x14ac:dyDescent="0.2">
      <c r="B32" t="s">
        <v>104</v>
      </c>
      <c r="C32" s="12">
        <v>62</v>
      </c>
      <c r="D32" s="8">
        <v>3.99</v>
      </c>
      <c r="E32" s="12">
        <v>42</v>
      </c>
      <c r="F32" s="8">
        <v>5.74</v>
      </c>
      <c r="G32" s="12">
        <v>20</v>
      </c>
      <c r="H32" s="8">
        <v>2.4700000000000002</v>
      </c>
      <c r="I32" s="12">
        <v>0</v>
      </c>
    </row>
    <row r="33" spans="2:9" ht="15" customHeight="1" x14ac:dyDescent="0.2">
      <c r="B33" t="s">
        <v>114</v>
      </c>
      <c r="C33" s="12">
        <v>61</v>
      </c>
      <c r="D33" s="8">
        <v>3.93</v>
      </c>
      <c r="E33" s="12">
        <v>36</v>
      </c>
      <c r="F33" s="8">
        <v>4.92</v>
      </c>
      <c r="G33" s="12">
        <v>18</v>
      </c>
      <c r="H33" s="8">
        <v>2.2200000000000002</v>
      </c>
      <c r="I33" s="12">
        <v>0</v>
      </c>
    </row>
    <row r="34" spans="2:9" ht="15" customHeight="1" x14ac:dyDescent="0.2">
      <c r="B34" t="s">
        <v>105</v>
      </c>
      <c r="C34" s="12">
        <v>44</v>
      </c>
      <c r="D34" s="8">
        <v>2.84</v>
      </c>
      <c r="E34" s="12">
        <v>19</v>
      </c>
      <c r="F34" s="8">
        <v>2.6</v>
      </c>
      <c r="G34" s="12">
        <v>25</v>
      </c>
      <c r="H34" s="8">
        <v>3.09</v>
      </c>
      <c r="I34" s="12">
        <v>0</v>
      </c>
    </row>
    <row r="35" spans="2:9" ht="15" customHeight="1" x14ac:dyDescent="0.2">
      <c r="B35" t="s">
        <v>109</v>
      </c>
      <c r="C35" s="12">
        <v>40</v>
      </c>
      <c r="D35" s="8">
        <v>2.58</v>
      </c>
      <c r="E35" s="12">
        <v>25</v>
      </c>
      <c r="F35" s="8">
        <v>3.42</v>
      </c>
      <c r="G35" s="12">
        <v>15</v>
      </c>
      <c r="H35" s="8">
        <v>1.85</v>
      </c>
      <c r="I35" s="12">
        <v>0</v>
      </c>
    </row>
    <row r="36" spans="2:9" ht="15" customHeight="1" x14ac:dyDescent="0.2">
      <c r="B36" t="s">
        <v>107</v>
      </c>
      <c r="C36" s="12">
        <v>39</v>
      </c>
      <c r="D36" s="8">
        <v>2.5099999999999998</v>
      </c>
      <c r="E36" s="12">
        <v>3</v>
      </c>
      <c r="F36" s="8">
        <v>0.41</v>
      </c>
      <c r="G36" s="12">
        <v>36</v>
      </c>
      <c r="H36" s="8">
        <v>4.45</v>
      </c>
      <c r="I36" s="12">
        <v>0</v>
      </c>
    </row>
    <row r="37" spans="2:9" ht="15" customHeight="1" x14ac:dyDescent="0.2">
      <c r="B37" t="s">
        <v>110</v>
      </c>
      <c r="C37" s="12">
        <v>36</v>
      </c>
      <c r="D37" s="8">
        <v>2.3199999999999998</v>
      </c>
      <c r="E37" s="12">
        <v>11</v>
      </c>
      <c r="F37" s="8">
        <v>1.5</v>
      </c>
      <c r="G37" s="12">
        <v>25</v>
      </c>
      <c r="H37" s="8">
        <v>3.09</v>
      </c>
      <c r="I37" s="12">
        <v>0</v>
      </c>
    </row>
    <row r="38" spans="2:9" ht="15" customHeight="1" x14ac:dyDescent="0.2">
      <c r="B38" t="s">
        <v>113</v>
      </c>
      <c r="C38" s="12">
        <v>29</v>
      </c>
      <c r="D38" s="8">
        <v>1.87</v>
      </c>
      <c r="E38" s="12">
        <v>17</v>
      </c>
      <c r="F38" s="8">
        <v>2.3199999999999998</v>
      </c>
      <c r="G38" s="12">
        <v>12</v>
      </c>
      <c r="H38" s="8">
        <v>1.48</v>
      </c>
      <c r="I38" s="12">
        <v>0</v>
      </c>
    </row>
    <row r="39" spans="2:9" ht="15" customHeight="1" x14ac:dyDescent="0.2">
      <c r="B39" t="s">
        <v>103</v>
      </c>
      <c r="C39" s="12">
        <v>20</v>
      </c>
      <c r="D39" s="8">
        <v>1.29</v>
      </c>
      <c r="E39" s="12">
        <v>10</v>
      </c>
      <c r="F39" s="8">
        <v>1.37</v>
      </c>
      <c r="G39" s="12">
        <v>10</v>
      </c>
      <c r="H39" s="8">
        <v>1.24</v>
      </c>
      <c r="I39" s="12">
        <v>0</v>
      </c>
    </row>
    <row r="40" spans="2:9" ht="15" customHeight="1" x14ac:dyDescent="0.2">
      <c r="B40" t="s">
        <v>100</v>
      </c>
      <c r="C40" s="12">
        <v>18</v>
      </c>
      <c r="D40" s="8">
        <v>1.1599999999999999</v>
      </c>
      <c r="E40" s="12">
        <v>5</v>
      </c>
      <c r="F40" s="8">
        <v>0.68</v>
      </c>
      <c r="G40" s="12">
        <v>13</v>
      </c>
      <c r="H40" s="8">
        <v>1.61</v>
      </c>
      <c r="I40" s="12">
        <v>0</v>
      </c>
    </row>
    <row r="41" spans="2:9" ht="15" customHeight="1" x14ac:dyDescent="0.2">
      <c r="B41" t="s">
        <v>118</v>
      </c>
      <c r="C41" s="12">
        <v>18</v>
      </c>
      <c r="D41" s="8">
        <v>1.1599999999999999</v>
      </c>
      <c r="E41" s="12">
        <v>0</v>
      </c>
      <c r="F41" s="8">
        <v>0</v>
      </c>
      <c r="G41" s="12">
        <v>18</v>
      </c>
      <c r="H41" s="8">
        <v>2.2200000000000002</v>
      </c>
      <c r="I41" s="12">
        <v>0</v>
      </c>
    </row>
    <row r="42" spans="2:9" ht="15" customHeight="1" x14ac:dyDescent="0.2">
      <c r="B42" t="s">
        <v>117</v>
      </c>
      <c r="C42" s="12">
        <v>15</v>
      </c>
      <c r="D42" s="8">
        <v>0.97</v>
      </c>
      <c r="E42" s="12">
        <v>1</v>
      </c>
      <c r="F42" s="8">
        <v>0.14000000000000001</v>
      </c>
      <c r="G42" s="12">
        <v>14</v>
      </c>
      <c r="H42" s="8">
        <v>1.73</v>
      </c>
      <c r="I42" s="12">
        <v>0</v>
      </c>
    </row>
    <row r="43" spans="2:9" ht="15" customHeight="1" x14ac:dyDescent="0.2">
      <c r="B43" t="s">
        <v>101</v>
      </c>
      <c r="C43" s="12">
        <v>14</v>
      </c>
      <c r="D43" s="8">
        <v>0.9</v>
      </c>
      <c r="E43" s="12">
        <v>1</v>
      </c>
      <c r="F43" s="8">
        <v>0.14000000000000001</v>
      </c>
      <c r="G43" s="12">
        <v>13</v>
      </c>
      <c r="H43" s="8">
        <v>1.61</v>
      </c>
      <c r="I43" s="12">
        <v>0</v>
      </c>
    </row>
    <row r="44" spans="2:9" ht="15" customHeight="1" x14ac:dyDescent="0.2">
      <c r="B44" t="s">
        <v>134</v>
      </c>
      <c r="C44" s="12">
        <v>14</v>
      </c>
      <c r="D44" s="8">
        <v>0.9</v>
      </c>
      <c r="E44" s="12">
        <v>2</v>
      </c>
      <c r="F44" s="8">
        <v>0.27</v>
      </c>
      <c r="G44" s="12">
        <v>12</v>
      </c>
      <c r="H44" s="8">
        <v>1.48</v>
      </c>
      <c r="I44" s="12">
        <v>0</v>
      </c>
    </row>
    <row r="45" spans="2:9" ht="15" customHeight="1" x14ac:dyDescent="0.2">
      <c r="B45" t="s">
        <v>116</v>
      </c>
      <c r="C45" s="12">
        <v>14</v>
      </c>
      <c r="D45" s="8">
        <v>0.9</v>
      </c>
      <c r="E45" s="12">
        <v>11</v>
      </c>
      <c r="F45" s="8">
        <v>1.5</v>
      </c>
      <c r="G45" s="12">
        <v>3</v>
      </c>
      <c r="H45" s="8">
        <v>0.37</v>
      </c>
      <c r="I45" s="12">
        <v>0</v>
      </c>
    </row>
    <row r="48" spans="2:9" ht="33" customHeight="1" x14ac:dyDescent="0.2">
      <c r="B48" t="s">
        <v>271</v>
      </c>
      <c r="C48" s="10" t="s">
        <v>90</v>
      </c>
      <c r="D48" s="10" t="s">
        <v>91</v>
      </c>
      <c r="E48" s="10" t="s">
        <v>92</v>
      </c>
      <c r="F48" s="10" t="s">
        <v>93</v>
      </c>
      <c r="G48" s="10" t="s">
        <v>94</v>
      </c>
      <c r="H48" s="10" t="s">
        <v>95</v>
      </c>
      <c r="I48" s="10" t="s">
        <v>96</v>
      </c>
    </row>
    <row r="49" spans="2:9" ht="15" customHeight="1" x14ac:dyDescent="0.2">
      <c r="B49" t="s">
        <v>173</v>
      </c>
      <c r="C49" s="12">
        <v>98</v>
      </c>
      <c r="D49" s="8">
        <v>6.31</v>
      </c>
      <c r="E49" s="12">
        <v>89</v>
      </c>
      <c r="F49" s="8">
        <v>12.16</v>
      </c>
      <c r="G49" s="12">
        <v>9</v>
      </c>
      <c r="H49" s="8">
        <v>1.1100000000000001</v>
      </c>
      <c r="I49" s="12">
        <v>0</v>
      </c>
    </row>
    <row r="50" spans="2:9" ht="15" customHeight="1" x14ac:dyDescent="0.2">
      <c r="B50" t="s">
        <v>170</v>
      </c>
      <c r="C50" s="12">
        <v>66</v>
      </c>
      <c r="D50" s="8">
        <v>4.25</v>
      </c>
      <c r="E50" s="12">
        <v>60</v>
      </c>
      <c r="F50" s="8">
        <v>8.1999999999999993</v>
      </c>
      <c r="G50" s="12">
        <v>6</v>
      </c>
      <c r="H50" s="8">
        <v>0.74</v>
      </c>
      <c r="I50" s="12">
        <v>0</v>
      </c>
    </row>
    <row r="51" spans="2:9" ht="15" customHeight="1" x14ac:dyDescent="0.2">
      <c r="B51" t="s">
        <v>175</v>
      </c>
      <c r="C51" s="12">
        <v>64</v>
      </c>
      <c r="D51" s="8">
        <v>4.12</v>
      </c>
      <c r="E51" s="12">
        <v>56</v>
      </c>
      <c r="F51" s="8">
        <v>7.65</v>
      </c>
      <c r="G51" s="12">
        <v>8</v>
      </c>
      <c r="H51" s="8">
        <v>0.99</v>
      </c>
      <c r="I51" s="12">
        <v>0</v>
      </c>
    </row>
    <row r="52" spans="2:9" ht="15" customHeight="1" x14ac:dyDescent="0.2">
      <c r="B52" t="s">
        <v>172</v>
      </c>
      <c r="C52" s="12">
        <v>63</v>
      </c>
      <c r="D52" s="8">
        <v>4.0599999999999996</v>
      </c>
      <c r="E52" s="12">
        <v>60</v>
      </c>
      <c r="F52" s="8">
        <v>8.1999999999999993</v>
      </c>
      <c r="G52" s="12">
        <v>3</v>
      </c>
      <c r="H52" s="8">
        <v>0.37</v>
      </c>
      <c r="I52" s="12">
        <v>0</v>
      </c>
    </row>
    <row r="53" spans="2:9" ht="15" customHeight="1" x14ac:dyDescent="0.2">
      <c r="B53" t="s">
        <v>169</v>
      </c>
      <c r="C53" s="12">
        <v>59</v>
      </c>
      <c r="D53" s="8">
        <v>3.8</v>
      </c>
      <c r="E53" s="12">
        <v>48</v>
      </c>
      <c r="F53" s="8">
        <v>6.56</v>
      </c>
      <c r="G53" s="12">
        <v>11</v>
      </c>
      <c r="H53" s="8">
        <v>1.36</v>
      </c>
      <c r="I53" s="12">
        <v>0</v>
      </c>
    </row>
    <row r="54" spans="2:9" ht="15" customHeight="1" x14ac:dyDescent="0.2">
      <c r="B54" t="s">
        <v>167</v>
      </c>
      <c r="C54" s="12">
        <v>52</v>
      </c>
      <c r="D54" s="8">
        <v>3.35</v>
      </c>
      <c r="E54" s="12">
        <v>17</v>
      </c>
      <c r="F54" s="8">
        <v>2.3199999999999998</v>
      </c>
      <c r="G54" s="12">
        <v>35</v>
      </c>
      <c r="H54" s="8">
        <v>4.33</v>
      </c>
      <c r="I54" s="12">
        <v>0</v>
      </c>
    </row>
    <row r="55" spans="2:9" ht="15" customHeight="1" x14ac:dyDescent="0.2">
      <c r="B55" t="s">
        <v>161</v>
      </c>
      <c r="C55" s="12">
        <v>36</v>
      </c>
      <c r="D55" s="8">
        <v>2.3199999999999998</v>
      </c>
      <c r="E55" s="12">
        <v>5</v>
      </c>
      <c r="F55" s="8">
        <v>0.68</v>
      </c>
      <c r="G55" s="12">
        <v>31</v>
      </c>
      <c r="H55" s="8">
        <v>3.83</v>
      </c>
      <c r="I55" s="12">
        <v>0</v>
      </c>
    </row>
    <row r="56" spans="2:9" ht="15" customHeight="1" x14ac:dyDescent="0.2">
      <c r="B56" t="s">
        <v>160</v>
      </c>
      <c r="C56" s="12">
        <v>33</v>
      </c>
      <c r="D56" s="8">
        <v>2.13</v>
      </c>
      <c r="E56" s="12">
        <v>4</v>
      </c>
      <c r="F56" s="8">
        <v>0.55000000000000004</v>
      </c>
      <c r="G56" s="12">
        <v>29</v>
      </c>
      <c r="H56" s="8">
        <v>3.58</v>
      </c>
      <c r="I56" s="12">
        <v>0</v>
      </c>
    </row>
    <row r="57" spans="2:9" ht="15" customHeight="1" x14ac:dyDescent="0.2">
      <c r="B57" t="s">
        <v>185</v>
      </c>
      <c r="C57" s="12">
        <v>32</v>
      </c>
      <c r="D57" s="8">
        <v>2.06</v>
      </c>
      <c r="E57" s="12">
        <v>5</v>
      </c>
      <c r="F57" s="8">
        <v>0.68</v>
      </c>
      <c r="G57" s="12">
        <v>27</v>
      </c>
      <c r="H57" s="8">
        <v>3.34</v>
      </c>
      <c r="I57" s="12">
        <v>0</v>
      </c>
    </row>
    <row r="58" spans="2:9" ht="15" customHeight="1" x14ac:dyDescent="0.2">
      <c r="B58" t="s">
        <v>174</v>
      </c>
      <c r="C58" s="12">
        <v>30</v>
      </c>
      <c r="D58" s="8">
        <v>1.93</v>
      </c>
      <c r="E58" s="12">
        <v>24</v>
      </c>
      <c r="F58" s="8">
        <v>3.28</v>
      </c>
      <c r="G58" s="12">
        <v>6</v>
      </c>
      <c r="H58" s="8">
        <v>0.74</v>
      </c>
      <c r="I58" s="12">
        <v>0</v>
      </c>
    </row>
    <row r="59" spans="2:9" ht="15" customHeight="1" x14ac:dyDescent="0.2">
      <c r="B59" t="s">
        <v>163</v>
      </c>
      <c r="C59" s="12">
        <v>28</v>
      </c>
      <c r="D59" s="8">
        <v>1.8</v>
      </c>
      <c r="E59" s="12">
        <v>9</v>
      </c>
      <c r="F59" s="8">
        <v>1.23</v>
      </c>
      <c r="G59" s="12">
        <v>19</v>
      </c>
      <c r="H59" s="8">
        <v>2.35</v>
      </c>
      <c r="I59" s="12">
        <v>0</v>
      </c>
    </row>
    <row r="60" spans="2:9" ht="15" customHeight="1" x14ac:dyDescent="0.2">
      <c r="B60" t="s">
        <v>157</v>
      </c>
      <c r="C60" s="12">
        <v>27</v>
      </c>
      <c r="D60" s="8">
        <v>1.74</v>
      </c>
      <c r="E60" s="12">
        <v>1</v>
      </c>
      <c r="F60" s="8">
        <v>0.14000000000000001</v>
      </c>
      <c r="G60" s="12">
        <v>26</v>
      </c>
      <c r="H60" s="8">
        <v>3.21</v>
      </c>
      <c r="I60" s="12">
        <v>0</v>
      </c>
    </row>
    <row r="61" spans="2:9" ht="15" customHeight="1" x14ac:dyDescent="0.2">
      <c r="B61" t="s">
        <v>159</v>
      </c>
      <c r="C61" s="12">
        <v>26</v>
      </c>
      <c r="D61" s="8">
        <v>1.68</v>
      </c>
      <c r="E61" s="12">
        <v>7</v>
      </c>
      <c r="F61" s="8">
        <v>0.96</v>
      </c>
      <c r="G61" s="12">
        <v>19</v>
      </c>
      <c r="H61" s="8">
        <v>2.35</v>
      </c>
      <c r="I61" s="12">
        <v>0</v>
      </c>
    </row>
    <row r="62" spans="2:9" ht="15" customHeight="1" x14ac:dyDescent="0.2">
      <c r="B62" t="s">
        <v>165</v>
      </c>
      <c r="C62" s="12">
        <v>26</v>
      </c>
      <c r="D62" s="8">
        <v>1.68</v>
      </c>
      <c r="E62" s="12">
        <v>3</v>
      </c>
      <c r="F62" s="8">
        <v>0.41</v>
      </c>
      <c r="G62" s="12">
        <v>23</v>
      </c>
      <c r="H62" s="8">
        <v>2.84</v>
      </c>
      <c r="I62" s="12">
        <v>0</v>
      </c>
    </row>
    <row r="63" spans="2:9" ht="15" customHeight="1" x14ac:dyDescent="0.2">
      <c r="B63" t="s">
        <v>171</v>
      </c>
      <c r="C63" s="12">
        <v>25</v>
      </c>
      <c r="D63" s="8">
        <v>1.61</v>
      </c>
      <c r="E63" s="12">
        <v>17</v>
      </c>
      <c r="F63" s="8">
        <v>2.3199999999999998</v>
      </c>
      <c r="G63" s="12">
        <v>8</v>
      </c>
      <c r="H63" s="8">
        <v>0.99</v>
      </c>
      <c r="I63" s="12">
        <v>0</v>
      </c>
    </row>
    <row r="64" spans="2:9" ht="15" customHeight="1" x14ac:dyDescent="0.2">
      <c r="B64" t="s">
        <v>162</v>
      </c>
      <c r="C64" s="12">
        <v>22</v>
      </c>
      <c r="D64" s="8">
        <v>1.42</v>
      </c>
      <c r="E64" s="12">
        <v>12</v>
      </c>
      <c r="F64" s="8">
        <v>1.64</v>
      </c>
      <c r="G64" s="12">
        <v>10</v>
      </c>
      <c r="H64" s="8">
        <v>1.24</v>
      </c>
      <c r="I64" s="12">
        <v>0</v>
      </c>
    </row>
    <row r="65" spans="2:9" ht="15" customHeight="1" x14ac:dyDescent="0.2">
      <c r="B65" t="s">
        <v>164</v>
      </c>
      <c r="C65" s="12">
        <v>22</v>
      </c>
      <c r="D65" s="8">
        <v>1.42</v>
      </c>
      <c r="E65" s="12">
        <v>10</v>
      </c>
      <c r="F65" s="8">
        <v>1.37</v>
      </c>
      <c r="G65" s="12">
        <v>12</v>
      </c>
      <c r="H65" s="8">
        <v>1.48</v>
      </c>
      <c r="I65" s="12">
        <v>0</v>
      </c>
    </row>
    <row r="66" spans="2:9" ht="15" customHeight="1" x14ac:dyDescent="0.2">
      <c r="B66" t="s">
        <v>179</v>
      </c>
      <c r="C66" s="12">
        <v>22</v>
      </c>
      <c r="D66" s="8">
        <v>1.42</v>
      </c>
      <c r="E66" s="12">
        <v>12</v>
      </c>
      <c r="F66" s="8">
        <v>1.64</v>
      </c>
      <c r="G66" s="12">
        <v>10</v>
      </c>
      <c r="H66" s="8">
        <v>1.24</v>
      </c>
      <c r="I66" s="12">
        <v>0</v>
      </c>
    </row>
    <row r="67" spans="2:9" ht="15" customHeight="1" x14ac:dyDescent="0.2">
      <c r="B67" t="s">
        <v>181</v>
      </c>
      <c r="C67" s="12">
        <v>21</v>
      </c>
      <c r="D67" s="8">
        <v>1.35</v>
      </c>
      <c r="E67" s="12">
        <v>10</v>
      </c>
      <c r="F67" s="8">
        <v>1.37</v>
      </c>
      <c r="G67" s="12">
        <v>11</v>
      </c>
      <c r="H67" s="8">
        <v>1.36</v>
      </c>
      <c r="I67" s="12">
        <v>0</v>
      </c>
    </row>
    <row r="68" spans="2:9" ht="15" customHeight="1" x14ac:dyDescent="0.2">
      <c r="B68" t="s">
        <v>166</v>
      </c>
      <c r="C68" s="12">
        <v>20</v>
      </c>
      <c r="D68" s="8">
        <v>1.29</v>
      </c>
      <c r="E68" s="12">
        <v>0</v>
      </c>
      <c r="F68" s="8">
        <v>0</v>
      </c>
      <c r="G68" s="12">
        <v>20</v>
      </c>
      <c r="H68" s="8">
        <v>2.4700000000000002</v>
      </c>
      <c r="I68" s="12">
        <v>0</v>
      </c>
    </row>
    <row r="69" spans="2:9" ht="15" customHeight="1" x14ac:dyDescent="0.2">
      <c r="B69" t="s">
        <v>178</v>
      </c>
      <c r="C69" s="12">
        <v>20</v>
      </c>
      <c r="D69" s="8">
        <v>1.29</v>
      </c>
      <c r="E69" s="12">
        <v>5</v>
      </c>
      <c r="F69" s="8">
        <v>0.68</v>
      </c>
      <c r="G69" s="12">
        <v>15</v>
      </c>
      <c r="H69" s="8">
        <v>1.85</v>
      </c>
      <c r="I69" s="12">
        <v>0</v>
      </c>
    </row>
    <row r="70" spans="2:9" ht="15" customHeight="1" x14ac:dyDescent="0.2">
      <c r="B70" t="s">
        <v>192</v>
      </c>
      <c r="C70" s="12">
        <v>20</v>
      </c>
      <c r="D70" s="8">
        <v>1.29</v>
      </c>
      <c r="E70" s="12">
        <v>18</v>
      </c>
      <c r="F70" s="8">
        <v>2.46</v>
      </c>
      <c r="G70" s="12">
        <v>2</v>
      </c>
      <c r="H70" s="8">
        <v>0.25</v>
      </c>
      <c r="I70" s="12">
        <v>0</v>
      </c>
    </row>
    <row r="72" spans="2:9" ht="15" customHeight="1" x14ac:dyDescent="0.2">
      <c r="B72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4647A-6F4E-4B18-A765-090446241D6A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267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7</v>
      </c>
      <c r="D5" s="8">
        <v>0.01</v>
      </c>
      <c r="E5" s="12">
        <v>0</v>
      </c>
      <c r="F5" s="8">
        <v>0</v>
      </c>
      <c r="G5" s="12">
        <v>7</v>
      </c>
      <c r="H5" s="8">
        <v>0.01</v>
      </c>
      <c r="I5" s="12">
        <v>0</v>
      </c>
    </row>
    <row r="6" spans="2:9" ht="15" customHeight="1" x14ac:dyDescent="0.2">
      <c r="B6" t="s">
        <v>75</v>
      </c>
      <c r="C6" s="12">
        <v>21221</v>
      </c>
      <c r="D6" s="8">
        <v>15.92</v>
      </c>
      <c r="E6" s="12">
        <v>4892</v>
      </c>
      <c r="F6" s="8">
        <v>8.51</v>
      </c>
      <c r="G6" s="12">
        <v>16326</v>
      </c>
      <c r="H6" s="8">
        <v>21.75</v>
      </c>
      <c r="I6" s="12">
        <v>3</v>
      </c>
    </row>
    <row r="7" spans="2:9" ht="15" customHeight="1" x14ac:dyDescent="0.2">
      <c r="B7" t="s">
        <v>76</v>
      </c>
      <c r="C7" s="12">
        <v>15868</v>
      </c>
      <c r="D7" s="8">
        <v>11.91</v>
      </c>
      <c r="E7" s="12">
        <v>4342</v>
      </c>
      <c r="F7" s="8">
        <v>7.56</v>
      </c>
      <c r="G7" s="12">
        <v>11523</v>
      </c>
      <c r="H7" s="8">
        <v>15.35</v>
      </c>
      <c r="I7" s="12">
        <v>2</v>
      </c>
    </row>
    <row r="8" spans="2:9" ht="15" customHeight="1" x14ac:dyDescent="0.2">
      <c r="B8" t="s">
        <v>77</v>
      </c>
      <c r="C8" s="12">
        <v>129</v>
      </c>
      <c r="D8" s="8">
        <v>0.1</v>
      </c>
      <c r="E8" s="12">
        <v>1</v>
      </c>
      <c r="F8" s="8">
        <v>0</v>
      </c>
      <c r="G8" s="12">
        <v>118</v>
      </c>
      <c r="H8" s="8">
        <v>0.16</v>
      </c>
      <c r="I8" s="12">
        <v>0</v>
      </c>
    </row>
    <row r="9" spans="2:9" ht="15" customHeight="1" x14ac:dyDescent="0.2">
      <c r="B9" t="s">
        <v>78</v>
      </c>
      <c r="C9" s="12">
        <v>1485</v>
      </c>
      <c r="D9" s="8">
        <v>1.1100000000000001</v>
      </c>
      <c r="E9" s="12">
        <v>60</v>
      </c>
      <c r="F9" s="8">
        <v>0.1</v>
      </c>
      <c r="G9" s="12">
        <v>1421</v>
      </c>
      <c r="H9" s="8">
        <v>1.89</v>
      </c>
      <c r="I9" s="12">
        <v>4</v>
      </c>
    </row>
    <row r="10" spans="2:9" ht="15" customHeight="1" x14ac:dyDescent="0.2">
      <c r="B10" t="s">
        <v>79</v>
      </c>
      <c r="C10" s="12">
        <v>1507</v>
      </c>
      <c r="D10" s="8">
        <v>1.1299999999999999</v>
      </c>
      <c r="E10" s="12">
        <v>143</v>
      </c>
      <c r="F10" s="8">
        <v>0.25</v>
      </c>
      <c r="G10" s="12">
        <v>1361</v>
      </c>
      <c r="H10" s="8">
        <v>1.81</v>
      </c>
      <c r="I10" s="12">
        <v>0</v>
      </c>
    </row>
    <row r="11" spans="2:9" ht="15" customHeight="1" x14ac:dyDescent="0.2">
      <c r="B11" t="s">
        <v>80</v>
      </c>
      <c r="C11" s="12">
        <v>25935</v>
      </c>
      <c r="D11" s="8">
        <v>19.46</v>
      </c>
      <c r="E11" s="12">
        <v>10114</v>
      </c>
      <c r="F11" s="8">
        <v>17.600000000000001</v>
      </c>
      <c r="G11" s="12">
        <v>15809</v>
      </c>
      <c r="H11" s="8">
        <v>21.06</v>
      </c>
      <c r="I11" s="12">
        <v>12</v>
      </c>
    </row>
    <row r="12" spans="2:9" ht="15" customHeight="1" x14ac:dyDescent="0.2">
      <c r="B12" t="s">
        <v>81</v>
      </c>
      <c r="C12" s="12">
        <v>736</v>
      </c>
      <c r="D12" s="8">
        <v>0.55000000000000004</v>
      </c>
      <c r="E12" s="12">
        <v>106</v>
      </c>
      <c r="F12" s="8">
        <v>0.18</v>
      </c>
      <c r="G12" s="12">
        <v>629</v>
      </c>
      <c r="H12" s="8">
        <v>0.84</v>
      </c>
      <c r="I12" s="12">
        <v>0</v>
      </c>
    </row>
    <row r="13" spans="2:9" ht="15" customHeight="1" x14ac:dyDescent="0.2">
      <c r="B13" t="s">
        <v>82</v>
      </c>
      <c r="C13" s="12">
        <v>14274</v>
      </c>
      <c r="D13" s="8">
        <v>10.71</v>
      </c>
      <c r="E13" s="12">
        <v>3761</v>
      </c>
      <c r="F13" s="8">
        <v>6.54</v>
      </c>
      <c r="G13" s="12">
        <v>10488</v>
      </c>
      <c r="H13" s="8">
        <v>13.97</v>
      </c>
      <c r="I13" s="12">
        <v>15</v>
      </c>
    </row>
    <row r="14" spans="2:9" ht="15" customHeight="1" x14ac:dyDescent="0.2">
      <c r="B14" t="s">
        <v>83</v>
      </c>
      <c r="C14" s="12">
        <v>6873</v>
      </c>
      <c r="D14" s="8">
        <v>5.16</v>
      </c>
      <c r="E14" s="12">
        <v>3082</v>
      </c>
      <c r="F14" s="8">
        <v>5.36</v>
      </c>
      <c r="G14" s="12">
        <v>3763</v>
      </c>
      <c r="H14" s="8">
        <v>5.01</v>
      </c>
      <c r="I14" s="12">
        <v>6</v>
      </c>
    </row>
    <row r="15" spans="2:9" ht="15" customHeight="1" x14ac:dyDescent="0.2">
      <c r="B15" t="s">
        <v>84</v>
      </c>
      <c r="C15" s="12">
        <v>12540</v>
      </c>
      <c r="D15" s="8">
        <v>9.41</v>
      </c>
      <c r="E15" s="12">
        <v>9840</v>
      </c>
      <c r="F15" s="8">
        <v>17.12</v>
      </c>
      <c r="G15" s="12">
        <v>2669</v>
      </c>
      <c r="H15" s="8">
        <v>3.56</v>
      </c>
      <c r="I15" s="12">
        <v>5</v>
      </c>
    </row>
    <row r="16" spans="2:9" ht="15" customHeight="1" x14ac:dyDescent="0.2">
      <c r="B16" t="s">
        <v>85</v>
      </c>
      <c r="C16" s="12">
        <v>15782</v>
      </c>
      <c r="D16" s="8">
        <v>11.84</v>
      </c>
      <c r="E16" s="12">
        <v>11753</v>
      </c>
      <c r="F16" s="8">
        <v>20.45</v>
      </c>
      <c r="G16" s="12">
        <v>3995</v>
      </c>
      <c r="H16" s="8">
        <v>5.32</v>
      </c>
      <c r="I16" s="12">
        <v>9</v>
      </c>
    </row>
    <row r="17" spans="2:9" ht="15" customHeight="1" x14ac:dyDescent="0.2">
      <c r="B17" t="s">
        <v>86</v>
      </c>
      <c r="C17" s="12">
        <v>5324</v>
      </c>
      <c r="D17" s="8">
        <v>3.99</v>
      </c>
      <c r="E17" s="12">
        <v>3541</v>
      </c>
      <c r="F17" s="8">
        <v>6.16</v>
      </c>
      <c r="G17" s="12">
        <v>1458</v>
      </c>
      <c r="H17" s="8">
        <v>1.94</v>
      </c>
      <c r="I17" s="12">
        <v>10</v>
      </c>
    </row>
    <row r="18" spans="2:9" ht="15" customHeight="1" x14ac:dyDescent="0.2">
      <c r="B18" t="s">
        <v>87</v>
      </c>
      <c r="C18" s="12">
        <v>6726</v>
      </c>
      <c r="D18" s="8">
        <v>5.05</v>
      </c>
      <c r="E18" s="12">
        <v>4209</v>
      </c>
      <c r="F18" s="8">
        <v>7.32</v>
      </c>
      <c r="G18" s="12">
        <v>2366</v>
      </c>
      <c r="H18" s="8">
        <v>3.15</v>
      </c>
      <c r="I18" s="12">
        <v>16</v>
      </c>
    </row>
    <row r="19" spans="2:9" ht="15" customHeight="1" x14ac:dyDescent="0.2">
      <c r="B19" t="s">
        <v>88</v>
      </c>
      <c r="C19" s="12">
        <v>4877</v>
      </c>
      <c r="D19" s="8">
        <v>3.66</v>
      </c>
      <c r="E19" s="12">
        <v>1627</v>
      </c>
      <c r="F19" s="8">
        <v>2.83</v>
      </c>
      <c r="G19" s="12">
        <v>3136</v>
      </c>
      <c r="H19" s="8">
        <v>4.18</v>
      </c>
      <c r="I19" s="12">
        <v>33</v>
      </c>
    </row>
    <row r="20" spans="2:9" ht="15" customHeight="1" x14ac:dyDescent="0.2">
      <c r="B20" s="9" t="s">
        <v>269</v>
      </c>
      <c r="C20" s="12">
        <f>SUM(LTBL_11000[総数／事業所数])</f>
        <v>133284</v>
      </c>
      <c r="E20" s="12">
        <f>SUBTOTAL(109,LTBL_11000[個人／事業所数])</f>
        <v>57471</v>
      </c>
      <c r="G20" s="12">
        <f>SUBTOTAL(109,LTBL_11000[法人／事業所数])</f>
        <v>75069</v>
      </c>
      <c r="I20" s="12">
        <f>SUBTOTAL(109,LTBL_11000[法人以外の団体／事業所数])</f>
        <v>115</v>
      </c>
    </row>
    <row r="21" spans="2:9" ht="15" customHeight="1" x14ac:dyDescent="0.2">
      <c r="E21" s="11">
        <f>LTBL_11000[[#Totals],[個人／事業所数]]/LTBL_11000[[#Totals],[総数／事業所数]]</f>
        <v>0.43119204105519043</v>
      </c>
      <c r="G21" s="11">
        <f>LTBL_11000[[#Totals],[法人／事業所数]]/LTBL_11000[[#Totals],[総数／事業所数]]</f>
        <v>0.5632258935806248</v>
      </c>
      <c r="I21" s="11">
        <f>LTBL_11000[[#Totals],[法人以外の団体／事業所数]]/LTBL_11000[[#Totals],[総数／事業所数]]</f>
        <v>8.6281924311995442E-4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12812</v>
      </c>
      <c r="D24" s="8">
        <v>9.61</v>
      </c>
      <c r="E24" s="12">
        <v>10464</v>
      </c>
      <c r="F24" s="8">
        <v>18.21</v>
      </c>
      <c r="G24" s="12">
        <v>2347</v>
      </c>
      <c r="H24" s="8">
        <v>3.13</v>
      </c>
      <c r="I24" s="12">
        <v>1</v>
      </c>
    </row>
    <row r="25" spans="2:9" ht="15" customHeight="1" x14ac:dyDescent="0.2">
      <c r="B25" t="s">
        <v>111</v>
      </c>
      <c r="C25" s="12">
        <v>11503</v>
      </c>
      <c r="D25" s="8">
        <v>8.6300000000000008</v>
      </c>
      <c r="E25" s="12">
        <v>9566</v>
      </c>
      <c r="F25" s="8">
        <v>16.64</v>
      </c>
      <c r="G25" s="12">
        <v>1932</v>
      </c>
      <c r="H25" s="8">
        <v>2.57</v>
      </c>
      <c r="I25" s="12">
        <v>5</v>
      </c>
    </row>
    <row r="26" spans="2:9" ht="15" customHeight="1" x14ac:dyDescent="0.2">
      <c r="B26" t="s">
        <v>108</v>
      </c>
      <c r="C26" s="12">
        <v>11334</v>
      </c>
      <c r="D26" s="8">
        <v>8.5</v>
      </c>
      <c r="E26" s="12">
        <v>3516</v>
      </c>
      <c r="F26" s="8">
        <v>6.12</v>
      </c>
      <c r="G26" s="12">
        <v>7794</v>
      </c>
      <c r="H26" s="8">
        <v>10.38</v>
      </c>
      <c r="I26" s="12">
        <v>14</v>
      </c>
    </row>
    <row r="27" spans="2:9" ht="15" customHeight="1" x14ac:dyDescent="0.2">
      <c r="B27" t="s">
        <v>98</v>
      </c>
      <c r="C27" s="12">
        <v>7835</v>
      </c>
      <c r="D27" s="8">
        <v>5.88</v>
      </c>
      <c r="E27" s="12">
        <v>2329</v>
      </c>
      <c r="F27" s="8">
        <v>4.05</v>
      </c>
      <c r="G27" s="12">
        <v>5504</v>
      </c>
      <c r="H27" s="8">
        <v>7.33</v>
      </c>
      <c r="I27" s="12">
        <v>2</v>
      </c>
    </row>
    <row r="28" spans="2:9" ht="15" customHeight="1" x14ac:dyDescent="0.2">
      <c r="B28" t="s">
        <v>97</v>
      </c>
      <c r="C28" s="12">
        <v>7819</v>
      </c>
      <c r="D28" s="8">
        <v>5.87</v>
      </c>
      <c r="E28" s="12">
        <v>1656</v>
      </c>
      <c r="F28" s="8">
        <v>2.88</v>
      </c>
      <c r="G28" s="12">
        <v>6163</v>
      </c>
      <c r="H28" s="8">
        <v>8.2100000000000009</v>
      </c>
      <c r="I28" s="12">
        <v>0</v>
      </c>
    </row>
    <row r="29" spans="2:9" ht="15" customHeight="1" x14ac:dyDescent="0.2">
      <c r="B29" t="s">
        <v>106</v>
      </c>
      <c r="C29" s="12">
        <v>6958</v>
      </c>
      <c r="D29" s="8">
        <v>5.22</v>
      </c>
      <c r="E29" s="12">
        <v>3148</v>
      </c>
      <c r="F29" s="8">
        <v>5.48</v>
      </c>
      <c r="G29" s="12">
        <v>3807</v>
      </c>
      <c r="H29" s="8">
        <v>5.07</v>
      </c>
      <c r="I29" s="12">
        <v>3</v>
      </c>
    </row>
    <row r="30" spans="2:9" ht="15" customHeight="1" x14ac:dyDescent="0.2">
      <c r="B30" t="s">
        <v>99</v>
      </c>
      <c r="C30" s="12">
        <v>5567</v>
      </c>
      <c r="D30" s="8">
        <v>4.18</v>
      </c>
      <c r="E30" s="12">
        <v>907</v>
      </c>
      <c r="F30" s="8">
        <v>1.58</v>
      </c>
      <c r="G30" s="12">
        <v>4659</v>
      </c>
      <c r="H30" s="8">
        <v>6.21</v>
      </c>
      <c r="I30" s="12">
        <v>1</v>
      </c>
    </row>
    <row r="31" spans="2:9" ht="15" customHeight="1" x14ac:dyDescent="0.2">
      <c r="B31" t="s">
        <v>114</v>
      </c>
      <c r="C31" s="12">
        <v>5324</v>
      </c>
      <c r="D31" s="8">
        <v>3.99</v>
      </c>
      <c r="E31" s="12">
        <v>3541</v>
      </c>
      <c r="F31" s="8">
        <v>6.16</v>
      </c>
      <c r="G31" s="12">
        <v>1458</v>
      </c>
      <c r="H31" s="8">
        <v>1.94</v>
      </c>
      <c r="I31" s="12">
        <v>10</v>
      </c>
    </row>
    <row r="32" spans="2:9" ht="15" customHeight="1" x14ac:dyDescent="0.2">
      <c r="B32" t="s">
        <v>104</v>
      </c>
      <c r="C32" s="12">
        <v>4887</v>
      </c>
      <c r="D32" s="8">
        <v>3.67</v>
      </c>
      <c r="E32" s="12">
        <v>3209</v>
      </c>
      <c r="F32" s="8">
        <v>5.58</v>
      </c>
      <c r="G32" s="12">
        <v>1672</v>
      </c>
      <c r="H32" s="8">
        <v>2.23</v>
      </c>
      <c r="I32" s="12">
        <v>6</v>
      </c>
    </row>
    <row r="33" spans="2:9" ht="15" customHeight="1" x14ac:dyDescent="0.2">
      <c r="B33" t="s">
        <v>115</v>
      </c>
      <c r="C33" s="12">
        <v>4875</v>
      </c>
      <c r="D33" s="8">
        <v>3.66</v>
      </c>
      <c r="E33" s="12">
        <v>4183</v>
      </c>
      <c r="F33" s="8">
        <v>7.28</v>
      </c>
      <c r="G33" s="12">
        <v>690</v>
      </c>
      <c r="H33" s="8">
        <v>0.92</v>
      </c>
      <c r="I33" s="12">
        <v>1</v>
      </c>
    </row>
    <row r="34" spans="2:9" ht="15" customHeight="1" x14ac:dyDescent="0.2">
      <c r="B34" t="s">
        <v>109</v>
      </c>
      <c r="C34" s="12">
        <v>3884</v>
      </c>
      <c r="D34" s="8">
        <v>2.91</v>
      </c>
      <c r="E34" s="12">
        <v>2238</v>
      </c>
      <c r="F34" s="8">
        <v>3.89</v>
      </c>
      <c r="G34" s="12">
        <v>1642</v>
      </c>
      <c r="H34" s="8">
        <v>2.19</v>
      </c>
      <c r="I34" s="12">
        <v>4</v>
      </c>
    </row>
    <row r="35" spans="2:9" ht="15" customHeight="1" x14ac:dyDescent="0.2">
      <c r="B35" t="s">
        <v>105</v>
      </c>
      <c r="C35" s="12">
        <v>3566</v>
      </c>
      <c r="D35" s="8">
        <v>2.68</v>
      </c>
      <c r="E35" s="12">
        <v>1664</v>
      </c>
      <c r="F35" s="8">
        <v>2.9</v>
      </c>
      <c r="G35" s="12">
        <v>1902</v>
      </c>
      <c r="H35" s="8">
        <v>2.5299999999999998</v>
      </c>
      <c r="I35" s="12">
        <v>0</v>
      </c>
    </row>
    <row r="36" spans="2:9" ht="15" customHeight="1" x14ac:dyDescent="0.2">
      <c r="B36" t="s">
        <v>100</v>
      </c>
      <c r="C36" s="12">
        <v>2888</v>
      </c>
      <c r="D36" s="8">
        <v>2.17</v>
      </c>
      <c r="E36" s="12">
        <v>748</v>
      </c>
      <c r="F36" s="8">
        <v>1.3</v>
      </c>
      <c r="G36" s="12">
        <v>2140</v>
      </c>
      <c r="H36" s="8">
        <v>2.85</v>
      </c>
      <c r="I36" s="12">
        <v>0</v>
      </c>
    </row>
    <row r="37" spans="2:9" ht="15" customHeight="1" x14ac:dyDescent="0.2">
      <c r="B37" t="s">
        <v>110</v>
      </c>
      <c r="C37" s="12">
        <v>2751</v>
      </c>
      <c r="D37" s="8">
        <v>2.06</v>
      </c>
      <c r="E37" s="12">
        <v>833</v>
      </c>
      <c r="F37" s="8">
        <v>1.45</v>
      </c>
      <c r="G37" s="12">
        <v>1895</v>
      </c>
      <c r="H37" s="8">
        <v>2.52</v>
      </c>
      <c r="I37" s="12">
        <v>2</v>
      </c>
    </row>
    <row r="38" spans="2:9" ht="15" customHeight="1" x14ac:dyDescent="0.2">
      <c r="B38" t="s">
        <v>103</v>
      </c>
      <c r="C38" s="12">
        <v>2547</v>
      </c>
      <c r="D38" s="8">
        <v>1.91</v>
      </c>
      <c r="E38" s="12">
        <v>1041</v>
      </c>
      <c r="F38" s="8">
        <v>1.81</v>
      </c>
      <c r="G38" s="12">
        <v>1506</v>
      </c>
      <c r="H38" s="8">
        <v>2.0099999999999998</v>
      </c>
      <c r="I38" s="12">
        <v>0</v>
      </c>
    </row>
    <row r="39" spans="2:9" ht="15" customHeight="1" x14ac:dyDescent="0.2">
      <c r="B39" t="s">
        <v>107</v>
      </c>
      <c r="C39" s="12">
        <v>2448</v>
      </c>
      <c r="D39" s="8">
        <v>1.84</v>
      </c>
      <c r="E39" s="12">
        <v>206</v>
      </c>
      <c r="F39" s="8">
        <v>0.36</v>
      </c>
      <c r="G39" s="12">
        <v>2241</v>
      </c>
      <c r="H39" s="8">
        <v>2.99</v>
      </c>
      <c r="I39" s="12">
        <v>1</v>
      </c>
    </row>
    <row r="40" spans="2:9" ht="15" customHeight="1" x14ac:dyDescent="0.2">
      <c r="B40" t="s">
        <v>113</v>
      </c>
      <c r="C40" s="12">
        <v>2207</v>
      </c>
      <c r="D40" s="8">
        <v>1.66</v>
      </c>
      <c r="E40" s="12">
        <v>982</v>
      </c>
      <c r="F40" s="8">
        <v>1.71</v>
      </c>
      <c r="G40" s="12">
        <v>1218</v>
      </c>
      <c r="H40" s="8">
        <v>1.62</v>
      </c>
      <c r="I40" s="12">
        <v>4</v>
      </c>
    </row>
    <row r="41" spans="2:9" ht="15" customHeight="1" x14ac:dyDescent="0.2">
      <c r="B41" t="s">
        <v>116</v>
      </c>
      <c r="C41" s="12">
        <v>1940</v>
      </c>
      <c r="D41" s="8">
        <v>1.46</v>
      </c>
      <c r="E41" s="12">
        <v>1172</v>
      </c>
      <c r="F41" s="8">
        <v>2.04</v>
      </c>
      <c r="G41" s="12">
        <v>768</v>
      </c>
      <c r="H41" s="8">
        <v>1.02</v>
      </c>
      <c r="I41" s="12">
        <v>0</v>
      </c>
    </row>
    <row r="42" spans="2:9" ht="15" customHeight="1" x14ac:dyDescent="0.2">
      <c r="B42" t="s">
        <v>101</v>
      </c>
      <c r="C42" s="12">
        <v>1887</v>
      </c>
      <c r="D42" s="8">
        <v>1.42</v>
      </c>
      <c r="E42" s="12">
        <v>289</v>
      </c>
      <c r="F42" s="8">
        <v>0.5</v>
      </c>
      <c r="G42" s="12">
        <v>1598</v>
      </c>
      <c r="H42" s="8">
        <v>2.13</v>
      </c>
      <c r="I42" s="12">
        <v>0</v>
      </c>
    </row>
    <row r="43" spans="2:9" ht="15" customHeight="1" x14ac:dyDescent="0.2">
      <c r="B43" t="s">
        <v>102</v>
      </c>
      <c r="C43" s="12">
        <v>1860</v>
      </c>
      <c r="D43" s="8">
        <v>1.4</v>
      </c>
      <c r="E43" s="12">
        <v>157</v>
      </c>
      <c r="F43" s="8">
        <v>0.27</v>
      </c>
      <c r="G43" s="12">
        <v>1703</v>
      </c>
      <c r="H43" s="8">
        <v>2.27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173</v>
      </c>
      <c r="C47" s="12">
        <v>6206</v>
      </c>
      <c r="D47" s="8">
        <v>4.66</v>
      </c>
      <c r="E47" s="12">
        <v>5284</v>
      </c>
      <c r="F47" s="8">
        <v>9.19</v>
      </c>
      <c r="G47" s="12">
        <v>921</v>
      </c>
      <c r="H47" s="8">
        <v>1.23</v>
      </c>
      <c r="I47" s="12">
        <v>1</v>
      </c>
    </row>
    <row r="48" spans="2:9" ht="15" customHeight="1" x14ac:dyDescent="0.2">
      <c r="B48" t="s">
        <v>167</v>
      </c>
      <c r="C48" s="12">
        <v>5519</v>
      </c>
      <c r="D48" s="8">
        <v>4.1399999999999997</v>
      </c>
      <c r="E48" s="12">
        <v>2393</v>
      </c>
      <c r="F48" s="8">
        <v>4.16</v>
      </c>
      <c r="G48" s="12">
        <v>3122</v>
      </c>
      <c r="H48" s="8">
        <v>4.16</v>
      </c>
      <c r="I48" s="12">
        <v>0</v>
      </c>
    </row>
    <row r="49" spans="2:9" ht="15" customHeight="1" x14ac:dyDescent="0.2">
      <c r="B49" t="s">
        <v>172</v>
      </c>
      <c r="C49" s="12">
        <v>3991</v>
      </c>
      <c r="D49" s="8">
        <v>2.99</v>
      </c>
      <c r="E49" s="12">
        <v>3716</v>
      </c>
      <c r="F49" s="8">
        <v>6.47</v>
      </c>
      <c r="G49" s="12">
        <v>275</v>
      </c>
      <c r="H49" s="8">
        <v>0.37</v>
      </c>
      <c r="I49" s="12">
        <v>0</v>
      </c>
    </row>
    <row r="50" spans="2:9" ht="15" customHeight="1" x14ac:dyDescent="0.2">
      <c r="B50" t="s">
        <v>175</v>
      </c>
      <c r="C50" s="12">
        <v>3468</v>
      </c>
      <c r="D50" s="8">
        <v>2.6</v>
      </c>
      <c r="E50" s="12">
        <v>3032</v>
      </c>
      <c r="F50" s="8">
        <v>5.28</v>
      </c>
      <c r="G50" s="12">
        <v>436</v>
      </c>
      <c r="H50" s="8">
        <v>0.57999999999999996</v>
      </c>
      <c r="I50" s="12">
        <v>0</v>
      </c>
    </row>
    <row r="51" spans="2:9" ht="15" customHeight="1" x14ac:dyDescent="0.2">
      <c r="B51" t="s">
        <v>170</v>
      </c>
      <c r="C51" s="12">
        <v>3395</v>
      </c>
      <c r="D51" s="8">
        <v>2.5499999999999998</v>
      </c>
      <c r="E51" s="12">
        <v>3026</v>
      </c>
      <c r="F51" s="8">
        <v>5.27</v>
      </c>
      <c r="G51" s="12">
        <v>368</v>
      </c>
      <c r="H51" s="8">
        <v>0.49</v>
      </c>
      <c r="I51" s="12">
        <v>1</v>
      </c>
    </row>
    <row r="52" spans="2:9" ht="15" customHeight="1" x14ac:dyDescent="0.2">
      <c r="B52" t="s">
        <v>174</v>
      </c>
      <c r="C52" s="12">
        <v>3307</v>
      </c>
      <c r="D52" s="8">
        <v>2.48</v>
      </c>
      <c r="E52" s="12">
        <v>2555</v>
      </c>
      <c r="F52" s="8">
        <v>4.45</v>
      </c>
      <c r="G52" s="12">
        <v>744</v>
      </c>
      <c r="H52" s="8">
        <v>0.99</v>
      </c>
      <c r="I52" s="12">
        <v>8</v>
      </c>
    </row>
    <row r="53" spans="2:9" ht="15" customHeight="1" x14ac:dyDescent="0.2">
      <c r="B53" t="s">
        <v>169</v>
      </c>
      <c r="C53" s="12">
        <v>3231</v>
      </c>
      <c r="D53" s="8">
        <v>2.42</v>
      </c>
      <c r="E53" s="12">
        <v>2564</v>
      </c>
      <c r="F53" s="8">
        <v>4.46</v>
      </c>
      <c r="G53" s="12">
        <v>667</v>
      </c>
      <c r="H53" s="8">
        <v>0.89</v>
      </c>
      <c r="I53" s="12">
        <v>0</v>
      </c>
    </row>
    <row r="54" spans="2:9" ht="15" customHeight="1" x14ac:dyDescent="0.2">
      <c r="B54" t="s">
        <v>166</v>
      </c>
      <c r="C54" s="12">
        <v>2785</v>
      </c>
      <c r="D54" s="8">
        <v>2.09</v>
      </c>
      <c r="E54" s="12">
        <v>385</v>
      </c>
      <c r="F54" s="8">
        <v>0.67</v>
      </c>
      <c r="G54" s="12">
        <v>2399</v>
      </c>
      <c r="H54" s="8">
        <v>3.2</v>
      </c>
      <c r="I54" s="12">
        <v>1</v>
      </c>
    </row>
    <row r="55" spans="2:9" ht="15" customHeight="1" x14ac:dyDescent="0.2">
      <c r="B55" t="s">
        <v>161</v>
      </c>
      <c r="C55" s="12">
        <v>2282</v>
      </c>
      <c r="D55" s="8">
        <v>1.71</v>
      </c>
      <c r="E55" s="12">
        <v>390</v>
      </c>
      <c r="F55" s="8">
        <v>0.68</v>
      </c>
      <c r="G55" s="12">
        <v>1892</v>
      </c>
      <c r="H55" s="8">
        <v>2.52</v>
      </c>
      <c r="I55" s="12">
        <v>0</v>
      </c>
    </row>
    <row r="56" spans="2:9" ht="15" customHeight="1" x14ac:dyDescent="0.2">
      <c r="B56" t="s">
        <v>160</v>
      </c>
      <c r="C56" s="12">
        <v>2276</v>
      </c>
      <c r="D56" s="8">
        <v>1.71</v>
      </c>
      <c r="E56" s="12">
        <v>476</v>
      </c>
      <c r="F56" s="8">
        <v>0.83</v>
      </c>
      <c r="G56" s="12">
        <v>1799</v>
      </c>
      <c r="H56" s="8">
        <v>2.4</v>
      </c>
      <c r="I56" s="12">
        <v>1</v>
      </c>
    </row>
    <row r="57" spans="2:9" ht="15" customHeight="1" x14ac:dyDescent="0.2">
      <c r="B57" t="s">
        <v>164</v>
      </c>
      <c r="C57" s="12">
        <v>2145</v>
      </c>
      <c r="D57" s="8">
        <v>1.61</v>
      </c>
      <c r="E57" s="12">
        <v>1196</v>
      </c>
      <c r="F57" s="8">
        <v>2.08</v>
      </c>
      <c r="G57" s="12">
        <v>946</v>
      </c>
      <c r="H57" s="8">
        <v>1.26</v>
      </c>
      <c r="I57" s="12">
        <v>3</v>
      </c>
    </row>
    <row r="58" spans="2:9" ht="15" customHeight="1" x14ac:dyDescent="0.2">
      <c r="B58" t="s">
        <v>163</v>
      </c>
      <c r="C58" s="12">
        <v>2077</v>
      </c>
      <c r="D58" s="8">
        <v>1.56</v>
      </c>
      <c r="E58" s="12">
        <v>845</v>
      </c>
      <c r="F58" s="8">
        <v>1.47</v>
      </c>
      <c r="G58" s="12">
        <v>1232</v>
      </c>
      <c r="H58" s="8">
        <v>1.64</v>
      </c>
      <c r="I58" s="12">
        <v>0</v>
      </c>
    </row>
    <row r="59" spans="2:9" ht="15" customHeight="1" x14ac:dyDescent="0.2">
      <c r="B59" t="s">
        <v>159</v>
      </c>
      <c r="C59" s="12">
        <v>2076</v>
      </c>
      <c r="D59" s="8">
        <v>1.56</v>
      </c>
      <c r="E59" s="12">
        <v>885</v>
      </c>
      <c r="F59" s="8">
        <v>1.54</v>
      </c>
      <c r="G59" s="12">
        <v>1191</v>
      </c>
      <c r="H59" s="8">
        <v>1.59</v>
      </c>
      <c r="I59" s="12">
        <v>0</v>
      </c>
    </row>
    <row r="60" spans="2:9" ht="15" customHeight="1" x14ac:dyDescent="0.2">
      <c r="B60" t="s">
        <v>168</v>
      </c>
      <c r="C60" s="12">
        <v>1962</v>
      </c>
      <c r="D60" s="8">
        <v>1.47</v>
      </c>
      <c r="E60" s="12">
        <v>68</v>
      </c>
      <c r="F60" s="8">
        <v>0.12</v>
      </c>
      <c r="G60" s="12">
        <v>1876</v>
      </c>
      <c r="H60" s="8">
        <v>2.5</v>
      </c>
      <c r="I60" s="12">
        <v>12</v>
      </c>
    </row>
    <row r="61" spans="2:9" ht="15" customHeight="1" x14ac:dyDescent="0.2">
      <c r="B61" t="s">
        <v>176</v>
      </c>
      <c r="C61" s="12">
        <v>1936</v>
      </c>
      <c r="D61" s="8">
        <v>1.45</v>
      </c>
      <c r="E61" s="12">
        <v>1172</v>
      </c>
      <c r="F61" s="8">
        <v>2.04</v>
      </c>
      <c r="G61" s="12">
        <v>764</v>
      </c>
      <c r="H61" s="8">
        <v>1.02</v>
      </c>
      <c r="I61" s="12">
        <v>0</v>
      </c>
    </row>
    <row r="62" spans="2:9" ht="15" customHeight="1" x14ac:dyDescent="0.2">
      <c r="B62" t="s">
        <v>162</v>
      </c>
      <c r="C62" s="12">
        <v>1908</v>
      </c>
      <c r="D62" s="8">
        <v>1.43</v>
      </c>
      <c r="E62" s="12">
        <v>1189</v>
      </c>
      <c r="F62" s="8">
        <v>2.0699999999999998</v>
      </c>
      <c r="G62" s="12">
        <v>715</v>
      </c>
      <c r="H62" s="8">
        <v>0.95</v>
      </c>
      <c r="I62" s="12">
        <v>4</v>
      </c>
    </row>
    <row r="63" spans="2:9" ht="15" customHeight="1" x14ac:dyDescent="0.2">
      <c r="B63" t="s">
        <v>158</v>
      </c>
      <c r="C63" s="12">
        <v>1898</v>
      </c>
      <c r="D63" s="8">
        <v>1.42</v>
      </c>
      <c r="E63" s="12">
        <v>274</v>
      </c>
      <c r="F63" s="8">
        <v>0.48</v>
      </c>
      <c r="G63" s="12">
        <v>1624</v>
      </c>
      <c r="H63" s="8">
        <v>2.16</v>
      </c>
      <c r="I63" s="12">
        <v>0</v>
      </c>
    </row>
    <row r="64" spans="2:9" ht="15" customHeight="1" x14ac:dyDescent="0.2">
      <c r="B64" t="s">
        <v>157</v>
      </c>
      <c r="C64" s="12">
        <v>1887</v>
      </c>
      <c r="D64" s="8">
        <v>1.42</v>
      </c>
      <c r="E64" s="12">
        <v>168</v>
      </c>
      <c r="F64" s="8">
        <v>0.28999999999999998</v>
      </c>
      <c r="G64" s="12">
        <v>1719</v>
      </c>
      <c r="H64" s="8">
        <v>2.29</v>
      </c>
      <c r="I64" s="12">
        <v>0</v>
      </c>
    </row>
    <row r="65" spans="2:9" ht="15" customHeight="1" x14ac:dyDescent="0.2">
      <c r="B65" t="s">
        <v>171</v>
      </c>
      <c r="C65" s="12">
        <v>1749</v>
      </c>
      <c r="D65" s="8">
        <v>1.31</v>
      </c>
      <c r="E65" s="12">
        <v>963</v>
      </c>
      <c r="F65" s="8">
        <v>1.68</v>
      </c>
      <c r="G65" s="12">
        <v>786</v>
      </c>
      <c r="H65" s="8">
        <v>1.05</v>
      </c>
      <c r="I65" s="12">
        <v>0</v>
      </c>
    </row>
    <row r="66" spans="2:9" ht="15" customHeight="1" x14ac:dyDescent="0.2">
      <c r="B66" t="s">
        <v>165</v>
      </c>
      <c r="C66" s="12">
        <v>1739</v>
      </c>
      <c r="D66" s="8">
        <v>1.3</v>
      </c>
      <c r="E66" s="12">
        <v>174</v>
      </c>
      <c r="F66" s="8">
        <v>0.3</v>
      </c>
      <c r="G66" s="12">
        <v>1565</v>
      </c>
      <c r="H66" s="8">
        <v>2.08</v>
      </c>
      <c r="I66" s="12">
        <v>0</v>
      </c>
    </row>
    <row r="68" spans="2:9" ht="15" customHeight="1" x14ac:dyDescent="0.2">
      <c r="B68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24C91-45AC-4304-A38B-CCB42BEDA91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317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184</v>
      </c>
      <c r="D6" s="8">
        <v>15.4</v>
      </c>
      <c r="E6" s="12">
        <v>78</v>
      </c>
      <c r="F6" s="8">
        <v>10.44</v>
      </c>
      <c r="G6" s="12">
        <v>106</v>
      </c>
      <c r="H6" s="8">
        <v>24.42</v>
      </c>
      <c r="I6" s="12">
        <v>0</v>
      </c>
    </row>
    <row r="7" spans="2:9" ht="15" customHeight="1" x14ac:dyDescent="0.2">
      <c r="B7" t="s">
        <v>76</v>
      </c>
      <c r="C7" s="12">
        <v>87</v>
      </c>
      <c r="D7" s="8">
        <v>7.28</v>
      </c>
      <c r="E7" s="12">
        <v>29</v>
      </c>
      <c r="F7" s="8">
        <v>3.88</v>
      </c>
      <c r="G7" s="12">
        <v>58</v>
      </c>
      <c r="H7" s="8">
        <v>13.36</v>
      </c>
      <c r="I7" s="12">
        <v>0</v>
      </c>
    </row>
    <row r="8" spans="2:9" ht="15" customHeight="1" x14ac:dyDescent="0.2">
      <c r="B8" t="s">
        <v>77</v>
      </c>
      <c r="C8" s="12">
        <v>1</v>
      </c>
      <c r="D8" s="8">
        <v>0.08</v>
      </c>
      <c r="E8" s="12">
        <v>0</v>
      </c>
      <c r="F8" s="8">
        <v>0</v>
      </c>
      <c r="G8" s="12">
        <v>1</v>
      </c>
      <c r="H8" s="8">
        <v>0.23</v>
      </c>
      <c r="I8" s="12">
        <v>0</v>
      </c>
    </row>
    <row r="9" spans="2:9" ht="15" customHeight="1" x14ac:dyDescent="0.2">
      <c r="B9" t="s">
        <v>78</v>
      </c>
      <c r="C9" s="12">
        <v>8</v>
      </c>
      <c r="D9" s="8">
        <v>0.67</v>
      </c>
      <c r="E9" s="12">
        <v>0</v>
      </c>
      <c r="F9" s="8">
        <v>0</v>
      </c>
      <c r="G9" s="12">
        <v>8</v>
      </c>
      <c r="H9" s="8">
        <v>1.84</v>
      </c>
      <c r="I9" s="12">
        <v>0</v>
      </c>
    </row>
    <row r="10" spans="2:9" ht="15" customHeight="1" x14ac:dyDescent="0.2">
      <c r="B10" t="s">
        <v>79</v>
      </c>
      <c r="C10" s="12">
        <v>16</v>
      </c>
      <c r="D10" s="8">
        <v>1.34</v>
      </c>
      <c r="E10" s="12">
        <v>1</v>
      </c>
      <c r="F10" s="8">
        <v>0.13</v>
      </c>
      <c r="G10" s="12">
        <v>15</v>
      </c>
      <c r="H10" s="8">
        <v>3.46</v>
      </c>
      <c r="I10" s="12">
        <v>0</v>
      </c>
    </row>
    <row r="11" spans="2:9" ht="15" customHeight="1" x14ac:dyDescent="0.2">
      <c r="B11" t="s">
        <v>80</v>
      </c>
      <c r="C11" s="12">
        <v>246</v>
      </c>
      <c r="D11" s="8">
        <v>20.59</v>
      </c>
      <c r="E11" s="12">
        <v>134</v>
      </c>
      <c r="F11" s="8">
        <v>17.940000000000001</v>
      </c>
      <c r="G11" s="12">
        <v>112</v>
      </c>
      <c r="H11" s="8">
        <v>25.81</v>
      </c>
      <c r="I11" s="12">
        <v>0</v>
      </c>
    </row>
    <row r="12" spans="2:9" ht="15" customHeight="1" x14ac:dyDescent="0.2">
      <c r="B12" t="s">
        <v>81</v>
      </c>
      <c r="C12" s="12">
        <v>4</v>
      </c>
      <c r="D12" s="8">
        <v>0.33</v>
      </c>
      <c r="E12" s="12">
        <v>2</v>
      </c>
      <c r="F12" s="8">
        <v>0.27</v>
      </c>
      <c r="G12" s="12">
        <v>2</v>
      </c>
      <c r="H12" s="8">
        <v>0.46</v>
      </c>
      <c r="I12" s="12">
        <v>0</v>
      </c>
    </row>
    <row r="13" spans="2:9" ht="15" customHeight="1" x14ac:dyDescent="0.2">
      <c r="B13" t="s">
        <v>82</v>
      </c>
      <c r="C13" s="12">
        <v>173</v>
      </c>
      <c r="D13" s="8">
        <v>14.48</v>
      </c>
      <c r="E13" s="12">
        <v>136</v>
      </c>
      <c r="F13" s="8">
        <v>18.21</v>
      </c>
      <c r="G13" s="12">
        <v>37</v>
      </c>
      <c r="H13" s="8">
        <v>8.5299999999999994</v>
      </c>
      <c r="I13" s="12">
        <v>0</v>
      </c>
    </row>
    <row r="14" spans="2:9" ht="15" customHeight="1" x14ac:dyDescent="0.2">
      <c r="B14" t="s">
        <v>83</v>
      </c>
      <c r="C14" s="12">
        <v>40</v>
      </c>
      <c r="D14" s="8">
        <v>3.35</v>
      </c>
      <c r="E14" s="12">
        <v>28</v>
      </c>
      <c r="F14" s="8">
        <v>3.75</v>
      </c>
      <c r="G14" s="12">
        <v>12</v>
      </c>
      <c r="H14" s="8">
        <v>2.76</v>
      </c>
      <c r="I14" s="12">
        <v>0</v>
      </c>
    </row>
    <row r="15" spans="2:9" ht="15" customHeight="1" x14ac:dyDescent="0.2">
      <c r="B15" t="s">
        <v>84</v>
      </c>
      <c r="C15" s="12">
        <v>120</v>
      </c>
      <c r="D15" s="8">
        <v>10.039999999999999</v>
      </c>
      <c r="E15" s="12">
        <v>105</v>
      </c>
      <c r="F15" s="8">
        <v>14.06</v>
      </c>
      <c r="G15" s="12">
        <v>15</v>
      </c>
      <c r="H15" s="8">
        <v>3.46</v>
      </c>
      <c r="I15" s="12">
        <v>0</v>
      </c>
    </row>
    <row r="16" spans="2:9" ht="15" customHeight="1" x14ac:dyDescent="0.2">
      <c r="B16" t="s">
        <v>85</v>
      </c>
      <c r="C16" s="12">
        <v>148</v>
      </c>
      <c r="D16" s="8">
        <v>12.38</v>
      </c>
      <c r="E16" s="12">
        <v>127</v>
      </c>
      <c r="F16" s="8">
        <v>17</v>
      </c>
      <c r="G16" s="12">
        <v>21</v>
      </c>
      <c r="H16" s="8">
        <v>4.84</v>
      </c>
      <c r="I16" s="12">
        <v>0</v>
      </c>
    </row>
    <row r="17" spans="2:9" ht="15" customHeight="1" x14ac:dyDescent="0.2">
      <c r="B17" t="s">
        <v>86</v>
      </c>
      <c r="C17" s="12">
        <v>56</v>
      </c>
      <c r="D17" s="8">
        <v>4.6900000000000004</v>
      </c>
      <c r="E17" s="12">
        <v>42</v>
      </c>
      <c r="F17" s="8">
        <v>5.62</v>
      </c>
      <c r="G17" s="12">
        <v>8</v>
      </c>
      <c r="H17" s="8">
        <v>1.84</v>
      </c>
      <c r="I17" s="12">
        <v>0</v>
      </c>
    </row>
    <row r="18" spans="2:9" ht="15" customHeight="1" x14ac:dyDescent="0.2">
      <c r="B18" t="s">
        <v>87</v>
      </c>
      <c r="C18" s="12">
        <v>57</v>
      </c>
      <c r="D18" s="8">
        <v>4.7699999999999996</v>
      </c>
      <c r="E18" s="12">
        <v>34</v>
      </c>
      <c r="F18" s="8">
        <v>4.55</v>
      </c>
      <c r="G18" s="12">
        <v>16</v>
      </c>
      <c r="H18" s="8">
        <v>3.69</v>
      </c>
      <c r="I18" s="12">
        <v>5</v>
      </c>
    </row>
    <row r="19" spans="2:9" ht="15" customHeight="1" x14ac:dyDescent="0.2">
      <c r="B19" t="s">
        <v>88</v>
      </c>
      <c r="C19" s="12">
        <v>55</v>
      </c>
      <c r="D19" s="8">
        <v>4.5999999999999996</v>
      </c>
      <c r="E19" s="12">
        <v>31</v>
      </c>
      <c r="F19" s="8">
        <v>4.1500000000000004</v>
      </c>
      <c r="G19" s="12">
        <v>23</v>
      </c>
      <c r="H19" s="8">
        <v>5.3</v>
      </c>
      <c r="I19" s="12">
        <v>0</v>
      </c>
    </row>
    <row r="20" spans="2:9" ht="15" customHeight="1" x14ac:dyDescent="0.2">
      <c r="B20" s="9" t="s">
        <v>269</v>
      </c>
      <c r="C20" s="12">
        <f>SUM(LTBL_11240[総数／事業所数])</f>
        <v>1195</v>
      </c>
      <c r="E20" s="12">
        <f>SUBTOTAL(109,LTBL_11240[個人／事業所数])</f>
        <v>747</v>
      </c>
      <c r="G20" s="12">
        <f>SUBTOTAL(109,LTBL_11240[法人／事業所数])</f>
        <v>434</v>
      </c>
      <c r="I20" s="12">
        <f>SUBTOTAL(109,LTBL_11240[法人以外の団体／事業所数])</f>
        <v>5</v>
      </c>
    </row>
    <row r="21" spans="2:9" ht="15" customHeight="1" x14ac:dyDescent="0.2">
      <c r="E21" s="11">
        <f>LTBL_11240[[#Totals],[個人／事業所数]]/LTBL_11240[[#Totals],[総数／事業所数]]</f>
        <v>0.62510460251046029</v>
      </c>
      <c r="G21" s="11">
        <f>LTBL_11240[[#Totals],[法人／事業所数]]/LTBL_11240[[#Totals],[総数／事業所数]]</f>
        <v>0.36317991631799162</v>
      </c>
      <c r="I21" s="11">
        <f>LTBL_11240[[#Totals],[法人以外の団体／事業所数]]/LTBL_11240[[#Totals],[総数／事業所数]]</f>
        <v>4.1841004184100415E-3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108</v>
      </c>
      <c r="C24" s="12">
        <v>155</v>
      </c>
      <c r="D24" s="8">
        <v>12.97</v>
      </c>
      <c r="E24" s="12">
        <v>134</v>
      </c>
      <c r="F24" s="8">
        <v>17.940000000000001</v>
      </c>
      <c r="G24" s="12">
        <v>21</v>
      </c>
      <c r="H24" s="8">
        <v>4.84</v>
      </c>
      <c r="I24" s="12">
        <v>0</v>
      </c>
    </row>
    <row r="25" spans="2:9" ht="15" customHeight="1" x14ac:dyDescent="0.2">
      <c r="B25" t="s">
        <v>111</v>
      </c>
      <c r="C25" s="12">
        <v>112</v>
      </c>
      <c r="D25" s="8">
        <v>9.3699999999999992</v>
      </c>
      <c r="E25" s="12">
        <v>104</v>
      </c>
      <c r="F25" s="8">
        <v>13.92</v>
      </c>
      <c r="G25" s="12">
        <v>8</v>
      </c>
      <c r="H25" s="8">
        <v>1.84</v>
      </c>
      <c r="I25" s="12">
        <v>0</v>
      </c>
    </row>
    <row r="26" spans="2:9" ht="15" customHeight="1" x14ac:dyDescent="0.2">
      <c r="B26" t="s">
        <v>112</v>
      </c>
      <c r="C26" s="12">
        <v>110</v>
      </c>
      <c r="D26" s="8">
        <v>9.2100000000000009</v>
      </c>
      <c r="E26" s="12">
        <v>99</v>
      </c>
      <c r="F26" s="8">
        <v>13.25</v>
      </c>
      <c r="G26" s="12">
        <v>11</v>
      </c>
      <c r="H26" s="8">
        <v>2.5299999999999998</v>
      </c>
      <c r="I26" s="12">
        <v>0</v>
      </c>
    </row>
    <row r="27" spans="2:9" ht="15" customHeight="1" x14ac:dyDescent="0.2">
      <c r="B27" t="s">
        <v>106</v>
      </c>
      <c r="C27" s="12">
        <v>77</v>
      </c>
      <c r="D27" s="8">
        <v>6.44</v>
      </c>
      <c r="E27" s="12">
        <v>42</v>
      </c>
      <c r="F27" s="8">
        <v>5.62</v>
      </c>
      <c r="G27" s="12">
        <v>35</v>
      </c>
      <c r="H27" s="8">
        <v>8.06</v>
      </c>
      <c r="I27" s="12">
        <v>0</v>
      </c>
    </row>
    <row r="28" spans="2:9" ht="15" customHeight="1" x14ac:dyDescent="0.2">
      <c r="B28" t="s">
        <v>98</v>
      </c>
      <c r="C28" s="12">
        <v>76</v>
      </c>
      <c r="D28" s="8">
        <v>6.36</v>
      </c>
      <c r="E28" s="12">
        <v>36</v>
      </c>
      <c r="F28" s="8">
        <v>4.82</v>
      </c>
      <c r="G28" s="12">
        <v>40</v>
      </c>
      <c r="H28" s="8">
        <v>9.2200000000000006</v>
      </c>
      <c r="I28" s="12">
        <v>0</v>
      </c>
    </row>
    <row r="29" spans="2:9" ht="15" customHeight="1" x14ac:dyDescent="0.2">
      <c r="B29" t="s">
        <v>97</v>
      </c>
      <c r="C29" s="12">
        <v>68</v>
      </c>
      <c r="D29" s="8">
        <v>5.69</v>
      </c>
      <c r="E29" s="12">
        <v>30</v>
      </c>
      <c r="F29" s="8">
        <v>4.0199999999999996</v>
      </c>
      <c r="G29" s="12">
        <v>38</v>
      </c>
      <c r="H29" s="8">
        <v>8.76</v>
      </c>
      <c r="I29" s="12">
        <v>0</v>
      </c>
    </row>
    <row r="30" spans="2:9" ht="15" customHeight="1" x14ac:dyDescent="0.2">
      <c r="B30" t="s">
        <v>114</v>
      </c>
      <c r="C30" s="12">
        <v>56</v>
      </c>
      <c r="D30" s="8">
        <v>4.6900000000000004</v>
      </c>
      <c r="E30" s="12">
        <v>42</v>
      </c>
      <c r="F30" s="8">
        <v>5.62</v>
      </c>
      <c r="G30" s="12">
        <v>8</v>
      </c>
      <c r="H30" s="8">
        <v>1.84</v>
      </c>
      <c r="I30" s="12">
        <v>0</v>
      </c>
    </row>
    <row r="31" spans="2:9" ht="15" customHeight="1" x14ac:dyDescent="0.2">
      <c r="B31" t="s">
        <v>104</v>
      </c>
      <c r="C31" s="12">
        <v>50</v>
      </c>
      <c r="D31" s="8">
        <v>4.18</v>
      </c>
      <c r="E31" s="12">
        <v>40</v>
      </c>
      <c r="F31" s="8">
        <v>5.35</v>
      </c>
      <c r="G31" s="12">
        <v>10</v>
      </c>
      <c r="H31" s="8">
        <v>2.2999999999999998</v>
      </c>
      <c r="I31" s="12">
        <v>0</v>
      </c>
    </row>
    <row r="32" spans="2:9" ht="15" customHeight="1" x14ac:dyDescent="0.2">
      <c r="B32" t="s">
        <v>99</v>
      </c>
      <c r="C32" s="12">
        <v>40</v>
      </c>
      <c r="D32" s="8">
        <v>3.35</v>
      </c>
      <c r="E32" s="12">
        <v>12</v>
      </c>
      <c r="F32" s="8">
        <v>1.61</v>
      </c>
      <c r="G32" s="12">
        <v>28</v>
      </c>
      <c r="H32" s="8">
        <v>6.45</v>
      </c>
      <c r="I32" s="12">
        <v>0</v>
      </c>
    </row>
    <row r="33" spans="2:9" ht="15" customHeight="1" x14ac:dyDescent="0.2">
      <c r="B33" t="s">
        <v>105</v>
      </c>
      <c r="C33" s="12">
        <v>40</v>
      </c>
      <c r="D33" s="8">
        <v>3.35</v>
      </c>
      <c r="E33" s="12">
        <v>25</v>
      </c>
      <c r="F33" s="8">
        <v>3.35</v>
      </c>
      <c r="G33" s="12">
        <v>15</v>
      </c>
      <c r="H33" s="8">
        <v>3.46</v>
      </c>
      <c r="I33" s="12">
        <v>0</v>
      </c>
    </row>
    <row r="34" spans="2:9" ht="15" customHeight="1" x14ac:dyDescent="0.2">
      <c r="B34" t="s">
        <v>115</v>
      </c>
      <c r="C34" s="12">
        <v>38</v>
      </c>
      <c r="D34" s="8">
        <v>3.18</v>
      </c>
      <c r="E34" s="12">
        <v>34</v>
      </c>
      <c r="F34" s="8">
        <v>4.55</v>
      </c>
      <c r="G34" s="12">
        <v>4</v>
      </c>
      <c r="H34" s="8">
        <v>0.92</v>
      </c>
      <c r="I34" s="12">
        <v>0</v>
      </c>
    </row>
    <row r="35" spans="2:9" ht="15" customHeight="1" x14ac:dyDescent="0.2">
      <c r="B35" t="s">
        <v>116</v>
      </c>
      <c r="C35" s="12">
        <v>35</v>
      </c>
      <c r="D35" s="8">
        <v>2.93</v>
      </c>
      <c r="E35" s="12">
        <v>27</v>
      </c>
      <c r="F35" s="8">
        <v>3.61</v>
      </c>
      <c r="G35" s="12">
        <v>8</v>
      </c>
      <c r="H35" s="8">
        <v>1.84</v>
      </c>
      <c r="I35" s="12">
        <v>0</v>
      </c>
    </row>
    <row r="36" spans="2:9" ht="15" customHeight="1" x14ac:dyDescent="0.2">
      <c r="B36" t="s">
        <v>113</v>
      </c>
      <c r="C36" s="12">
        <v>32</v>
      </c>
      <c r="D36" s="8">
        <v>2.68</v>
      </c>
      <c r="E36" s="12">
        <v>25</v>
      </c>
      <c r="F36" s="8">
        <v>3.35</v>
      </c>
      <c r="G36" s="12">
        <v>7</v>
      </c>
      <c r="H36" s="8">
        <v>1.61</v>
      </c>
      <c r="I36" s="12">
        <v>0</v>
      </c>
    </row>
    <row r="37" spans="2:9" ht="15" customHeight="1" x14ac:dyDescent="0.2">
      <c r="B37" t="s">
        <v>101</v>
      </c>
      <c r="C37" s="12">
        <v>23</v>
      </c>
      <c r="D37" s="8">
        <v>1.92</v>
      </c>
      <c r="E37" s="12">
        <v>4</v>
      </c>
      <c r="F37" s="8">
        <v>0.54</v>
      </c>
      <c r="G37" s="12">
        <v>19</v>
      </c>
      <c r="H37" s="8">
        <v>4.38</v>
      </c>
      <c r="I37" s="12">
        <v>0</v>
      </c>
    </row>
    <row r="38" spans="2:9" ht="15" customHeight="1" x14ac:dyDescent="0.2">
      <c r="B38" t="s">
        <v>100</v>
      </c>
      <c r="C38" s="12">
        <v>21</v>
      </c>
      <c r="D38" s="8">
        <v>1.76</v>
      </c>
      <c r="E38" s="12">
        <v>5</v>
      </c>
      <c r="F38" s="8">
        <v>0.67</v>
      </c>
      <c r="G38" s="12">
        <v>16</v>
      </c>
      <c r="H38" s="8">
        <v>3.69</v>
      </c>
      <c r="I38" s="12">
        <v>0</v>
      </c>
    </row>
    <row r="39" spans="2:9" ht="15" customHeight="1" x14ac:dyDescent="0.2">
      <c r="B39" t="s">
        <v>103</v>
      </c>
      <c r="C39" s="12">
        <v>21</v>
      </c>
      <c r="D39" s="8">
        <v>1.76</v>
      </c>
      <c r="E39" s="12">
        <v>13</v>
      </c>
      <c r="F39" s="8">
        <v>1.74</v>
      </c>
      <c r="G39" s="12">
        <v>8</v>
      </c>
      <c r="H39" s="8">
        <v>1.84</v>
      </c>
      <c r="I39" s="12">
        <v>0</v>
      </c>
    </row>
    <row r="40" spans="2:9" ht="15" customHeight="1" x14ac:dyDescent="0.2">
      <c r="B40" t="s">
        <v>109</v>
      </c>
      <c r="C40" s="12">
        <v>20</v>
      </c>
      <c r="D40" s="8">
        <v>1.67</v>
      </c>
      <c r="E40" s="12">
        <v>16</v>
      </c>
      <c r="F40" s="8">
        <v>2.14</v>
      </c>
      <c r="G40" s="12">
        <v>4</v>
      </c>
      <c r="H40" s="8">
        <v>0.92</v>
      </c>
      <c r="I40" s="12">
        <v>0</v>
      </c>
    </row>
    <row r="41" spans="2:9" ht="15" customHeight="1" x14ac:dyDescent="0.2">
      <c r="B41" t="s">
        <v>110</v>
      </c>
      <c r="C41" s="12">
        <v>20</v>
      </c>
      <c r="D41" s="8">
        <v>1.67</v>
      </c>
      <c r="E41" s="12">
        <v>12</v>
      </c>
      <c r="F41" s="8">
        <v>1.61</v>
      </c>
      <c r="G41" s="12">
        <v>8</v>
      </c>
      <c r="H41" s="8">
        <v>1.84</v>
      </c>
      <c r="I41" s="12">
        <v>0</v>
      </c>
    </row>
    <row r="42" spans="2:9" ht="15" customHeight="1" x14ac:dyDescent="0.2">
      <c r="B42" t="s">
        <v>118</v>
      </c>
      <c r="C42" s="12">
        <v>19</v>
      </c>
      <c r="D42" s="8">
        <v>1.59</v>
      </c>
      <c r="E42" s="12">
        <v>0</v>
      </c>
      <c r="F42" s="8">
        <v>0</v>
      </c>
      <c r="G42" s="12">
        <v>12</v>
      </c>
      <c r="H42" s="8">
        <v>2.76</v>
      </c>
      <c r="I42" s="12">
        <v>5</v>
      </c>
    </row>
    <row r="43" spans="2:9" ht="15" customHeight="1" x14ac:dyDescent="0.2">
      <c r="B43" t="s">
        <v>121</v>
      </c>
      <c r="C43" s="12">
        <v>12</v>
      </c>
      <c r="D43" s="8">
        <v>1</v>
      </c>
      <c r="E43" s="12">
        <v>3</v>
      </c>
      <c r="F43" s="8">
        <v>0.4</v>
      </c>
      <c r="G43" s="12">
        <v>9</v>
      </c>
      <c r="H43" s="8">
        <v>2.0699999999999998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167</v>
      </c>
      <c r="C47" s="12">
        <v>78</v>
      </c>
      <c r="D47" s="8">
        <v>6.53</v>
      </c>
      <c r="E47" s="12">
        <v>70</v>
      </c>
      <c r="F47" s="8">
        <v>9.3699999999999992</v>
      </c>
      <c r="G47" s="12">
        <v>8</v>
      </c>
      <c r="H47" s="8">
        <v>1.84</v>
      </c>
      <c r="I47" s="12">
        <v>0</v>
      </c>
    </row>
    <row r="48" spans="2:9" ht="15" customHeight="1" x14ac:dyDescent="0.2">
      <c r="B48" t="s">
        <v>173</v>
      </c>
      <c r="C48" s="12">
        <v>54</v>
      </c>
      <c r="D48" s="8">
        <v>4.5199999999999996</v>
      </c>
      <c r="E48" s="12">
        <v>50</v>
      </c>
      <c r="F48" s="8">
        <v>6.69</v>
      </c>
      <c r="G48" s="12">
        <v>4</v>
      </c>
      <c r="H48" s="8">
        <v>0.92</v>
      </c>
      <c r="I48" s="12">
        <v>0</v>
      </c>
    </row>
    <row r="49" spans="2:9" ht="15" customHeight="1" x14ac:dyDescent="0.2">
      <c r="B49" t="s">
        <v>189</v>
      </c>
      <c r="C49" s="12">
        <v>48</v>
      </c>
      <c r="D49" s="8">
        <v>4.0199999999999996</v>
      </c>
      <c r="E49" s="12">
        <v>46</v>
      </c>
      <c r="F49" s="8">
        <v>6.16</v>
      </c>
      <c r="G49" s="12">
        <v>2</v>
      </c>
      <c r="H49" s="8">
        <v>0.46</v>
      </c>
      <c r="I49" s="12">
        <v>0</v>
      </c>
    </row>
    <row r="50" spans="2:9" ht="15" customHeight="1" x14ac:dyDescent="0.2">
      <c r="B50" t="s">
        <v>174</v>
      </c>
      <c r="C50" s="12">
        <v>40</v>
      </c>
      <c r="D50" s="8">
        <v>3.35</v>
      </c>
      <c r="E50" s="12">
        <v>37</v>
      </c>
      <c r="F50" s="8">
        <v>4.95</v>
      </c>
      <c r="G50" s="12">
        <v>3</v>
      </c>
      <c r="H50" s="8">
        <v>0.69</v>
      </c>
      <c r="I50" s="12">
        <v>0</v>
      </c>
    </row>
    <row r="51" spans="2:9" ht="15" customHeight="1" x14ac:dyDescent="0.2">
      <c r="B51" t="s">
        <v>170</v>
      </c>
      <c r="C51" s="12">
        <v>38</v>
      </c>
      <c r="D51" s="8">
        <v>3.18</v>
      </c>
      <c r="E51" s="12">
        <v>37</v>
      </c>
      <c r="F51" s="8">
        <v>4.95</v>
      </c>
      <c r="G51" s="12">
        <v>1</v>
      </c>
      <c r="H51" s="8">
        <v>0.23</v>
      </c>
      <c r="I51" s="12">
        <v>0</v>
      </c>
    </row>
    <row r="52" spans="2:9" ht="15" customHeight="1" x14ac:dyDescent="0.2">
      <c r="B52" t="s">
        <v>172</v>
      </c>
      <c r="C52" s="12">
        <v>36</v>
      </c>
      <c r="D52" s="8">
        <v>3.01</v>
      </c>
      <c r="E52" s="12">
        <v>34</v>
      </c>
      <c r="F52" s="8">
        <v>4.55</v>
      </c>
      <c r="G52" s="12">
        <v>2</v>
      </c>
      <c r="H52" s="8">
        <v>0.46</v>
      </c>
      <c r="I52" s="12">
        <v>0</v>
      </c>
    </row>
    <row r="53" spans="2:9" ht="15" customHeight="1" x14ac:dyDescent="0.2">
      <c r="B53" t="s">
        <v>176</v>
      </c>
      <c r="C53" s="12">
        <v>35</v>
      </c>
      <c r="D53" s="8">
        <v>2.93</v>
      </c>
      <c r="E53" s="12">
        <v>27</v>
      </c>
      <c r="F53" s="8">
        <v>3.61</v>
      </c>
      <c r="G53" s="12">
        <v>8</v>
      </c>
      <c r="H53" s="8">
        <v>1.84</v>
      </c>
      <c r="I53" s="12">
        <v>0</v>
      </c>
    </row>
    <row r="54" spans="2:9" ht="15" customHeight="1" x14ac:dyDescent="0.2">
      <c r="B54" t="s">
        <v>159</v>
      </c>
      <c r="C54" s="12">
        <v>32</v>
      </c>
      <c r="D54" s="8">
        <v>2.68</v>
      </c>
      <c r="E54" s="12">
        <v>20</v>
      </c>
      <c r="F54" s="8">
        <v>2.68</v>
      </c>
      <c r="G54" s="12">
        <v>12</v>
      </c>
      <c r="H54" s="8">
        <v>2.76</v>
      </c>
      <c r="I54" s="12">
        <v>0</v>
      </c>
    </row>
    <row r="55" spans="2:9" ht="15" customHeight="1" x14ac:dyDescent="0.2">
      <c r="B55" t="s">
        <v>175</v>
      </c>
      <c r="C55" s="12">
        <v>28</v>
      </c>
      <c r="D55" s="8">
        <v>2.34</v>
      </c>
      <c r="E55" s="12">
        <v>25</v>
      </c>
      <c r="F55" s="8">
        <v>3.35</v>
      </c>
      <c r="G55" s="12">
        <v>3</v>
      </c>
      <c r="H55" s="8">
        <v>0.69</v>
      </c>
      <c r="I55" s="12">
        <v>0</v>
      </c>
    </row>
    <row r="56" spans="2:9" ht="15" customHeight="1" x14ac:dyDescent="0.2">
      <c r="B56" t="s">
        <v>166</v>
      </c>
      <c r="C56" s="12">
        <v>25</v>
      </c>
      <c r="D56" s="8">
        <v>2.09</v>
      </c>
      <c r="E56" s="12">
        <v>18</v>
      </c>
      <c r="F56" s="8">
        <v>2.41</v>
      </c>
      <c r="G56" s="12">
        <v>7</v>
      </c>
      <c r="H56" s="8">
        <v>1.61</v>
      </c>
      <c r="I56" s="12">
        <v>0</v>
      </c>
    </row>
    <row r="57" spans="2:9" ht="15" customHeight="1" x14ac:dyDescent="0.2">
      <c r="B57" t="s">
        <v>163</v>
      </c>
      <c r="C57" s="12">
        <v>24</v>
      </c>
      <c r="D57" s="8">
        <v>2.0099999999999998</v>
      </c>
      <c r="E57" s="12">
        <v>13</v>
      </c>
      <c r="F57" s="8">
        <v>1.74</v>
      </c>
      <c r="G57" s="12">
        <v>11</v>
      </c>
      <c r="H57" s="8">
        <v>2.5299999999999998</v>
      </c>
      <c r="I57" s="12">
        <v>0</v>
      </c>
    </row>
    <row r="58" spans="2:9" ht="15" customHeight="1" x14ac:dyDescent="0.2">
      <c r="B58" t="s">
        <v>169</v>
      </c>
      <c r="C58" s="12">
        <v>24</v>
      </c>
      <c r="D58" s="8">
        <v>2.0099999999999998</v>
      </c>
      <c r="E58" s="12">
        <v>21</v>
      </c>
      <c r="F58" s="8">
        <v>2.81</v>
      </c>
      <c r="G58" s="12">
        <v>3</v>
      </c>
      <c r="H58" s="8">
        <v>0.69</v>
      </c>
      <c r="I58" s="12">
        <v>0</v>
      </c>
    </row>
    <row r="59" spans="2:9" ht="15" customHeight="1" x14ac:dyDescent="0.2">
      <c r="B59" t="s">
        <v>185</v>
      </c>
      <c r="C59" s="12">
        <v>21</v>
      </c>
      <c r="D59" s="8">
        <v>1.76</v>
      </c>
      <c r="E59" s="12">
        <v>6</v>
      </c>
      <c r="F59" s="8">
        <v>0.8</v>
      </c>
      <c r="G59" s="12">
        <v>15</v>
      </c>
      <c r="H59" s="8">
        <v>3.46</v>
      </c>
      <c r="I59" s="12">
        <v>0</v>
      </c>
    </row>
    <row r="60" spans="2:9" ht="15" customHeight="1" x14ac:dyDescent="0.2">
      <c r="B60" t="s">
        <v>182</v>
      </c>
      <c r="C60" s="12">
        <v>19</v>
      </c>
      <c r="D60" s="8">
        <v>1.59</v>
      </c>
      <c r="E60" s="12">
        <v>8</v>
      </c>
      <c r="F60" s="8">
        <v>1.07</v>
      </c>
      <c r="G60" s="12">
        <v>11</v>
      </c>
      <c r="H60" s="8">
        <v>2.5299999999999998</v>
      </c>
      <c r="I60" s="12">
        <v>0</v>
      </c>
    </row>
    <row r="61" spans="2:9" ht="15" customHeight="1" x14ac:dyDescent="0.2">
      <c r="B61" t="s">
        <v>161</v>
      </c>
      <c r="C61" s="12">
        <v>18</v>
      </c>
      <c r="D61" s="8">
        <v>1.51</v>
      </c>
      <c r="E61" s="12">
        <v>6</v>
      </c>
      <c r="F61" s="8">
        <v>0.8</v>
      </c>
      <c r="G61" s="12">
        <v>12</v>
      </c>
      <c r="H61" s="8">
        <v>2.76</v>
      </c>
      <c r="I61" s="12">
        <v>0</v>
      </c>
    </row>
    <row r="62" spans="2:9" ht="15" customHeight="1" x14ac:dyDescent="0.2">
      <c r="B62" t="s">
        <v>162</v>
      </c>
      <c r="C62" s="12">
        <v>18</v>
      </c>
      <c r="D62" s="8">
        <v>1.51</v>
      </c>
      <c r="E62" s="12">
        <v>13</v>
      </c>
      <c r="F62" s="8">
        <v>1.74</v>
      </c>
      <c r="G62" s="12">
        <v>5</v>
      </c>
      <c r="H62" s="8">
        <v>1.1499999999999999</v>
      </c>
      <c r="I62" s="12">
        <v>0</v>
      </c>
    </row>
    <row r="63" spans="2:9" ht="15" customHeight="1" x14ac:dyDescent="0.2">
      <c r="B63" t="s">
        <v>207</v>
      </c>
      <c r="C63" s="12">
        <v>17</v>
      </c>
      <c r="D63" s="8">
        <v>1.42</v>
      </c>
      <c r="E63" s="12">
        <v>11</v>
      </c>
      <c r="F63" s="8">
        <v>1.47</v>
      </c>
      <c r="G63" s="12">
        <v>6</v>
      </c>
      <c r="H63" s="8">
        <v>1.38</v>
      </c>
      <c r="I63" s="12">
        <v>0</v>
      </c>
    </row>
    <row r="64" spans="2:9" ht="15" customHeight="1" x14ac:dyDescent="0.2">
      <c r="B64" t="s">
        <v>188</v>
      </c>
      <c r="C64" s="12">
        <v>16</v>
      </c>
      <c r="D64" s="8">
        <v>1.34</v>
      </c>
      <c r="E64" s="12">
        <v>13</v>
      </c>
      <c r="F64" s="8">
        <v>1.74</v>
      </c>
      <c r="G64" s="12">
        <v>3</v>
      </c>
      <c r="H64" s="8">
        <v>0.69</v>
      </c>
      <c r="I64" s="12">
        <v>0</v>
      </c>
    </row>
    <row r="65" spans="2:9" ht="15" customHeight="1" x14ac:dyDescent="0.2">
      <c r="B65" t="s">
        <v>164</v>
      </c>
      <c r="C65" s="12">
        <v>15</v>
      </c>
      <c r="D65" s="8">
        <v>1.26</v>
      </c>
      <c r="E65" s="12">
        <v>8</v>
      </c>
      <c r="F65" s="8">
        <v>1.07</v>
      </c>
      <c r="G65" s="12">
        <v>7</v>
      </c>
      <c r="H65" s="8">
        <v>1.61</v>
      </c>
      <c r="I65" s="12">
        <v>0</v>
      </c>
    </row>
    <row r="66" spans="2:9" ht="15" customHeight="1" x14ac:dyDescent="0.2">
      <c r="B66" t="s">
        <v>157</v>
      </c>
      <c r="C66" s="12">
        <v>14</v>
      </c>
      <c r="D66" s="8">
        <v>1.17</v>
      </c>
      <c r="E66" s="12">
        <v>3</v>
      </c>
      <c r="F66" s="8">
        <v>0.4</v>
      </c>
      <c r="G66" s="12">
        <v>11</v>
      </c>
      <c r="H66" s="8">
        <v>2.5299999999999998</v>
      </c>
      <c r="I66" s="12">
        <v>0</v>
      </c>
    </row>
    <row r="68" spans="2:9" ht="15" customHeight="1" x14ac:dyDescent="0.2">
      <c r="B68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8100-C870-4DD3-9922-EF68E3F97752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318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179</v>
      </c>
      <c r="D6" s="8">
        <v>15.7</v>
      </c>
      <c r="E6" s="12">
        <v>36</v>
      </c>
      <c r="F6" s="8">
        <v>6.38</v>
      </c>
      <c r="G6" s="12">
        <v>143</v>
      </c>
      <c r="H6" s="8">
        <v>25.22</v>
      </c>
      <c r="I6" s="12">
        <v>0</v>
      </c>
    </row>
    <row r="7" spans="2:9" ht="15" customHeight="1" x14ac:dyDescent="0.2">
      <c r="B7" t="s">
        <v>76</v>
      </c>
      <c r="C7" s="12">
        <v>67</v>
      </c>
      <c r="D7" s="8">
        <v>5.88</v>
      </c>
      <c r="E7" s="12">
        <v>18</v>
      </c>
      <c r="F7" s="8">
        <v>3.19</v>
      </c>
      <c r="G7" s="12">
        <v>49</v>
      </c>
      <c r="H7" s="8">
        <v>8.64</v>
      </c>
      <c r="I7" s="12">
        <v>0</v>
      </c>
    </row>
    <row r="8" spans="2:9" ht="15" customHeight="1" x14ac:dyDescent="0.2">
      <c r="B8" t="s">
        <v>77</v>
      </c>
      <c r="C8" s="12">
        <v>1</v>
      </c>
      <c r="D8" s="8">
        <v>0.09</v>
      </c>
      <c r="E8" s="12">
        <v>0</v>
      </c>
      <c r="F8" s="8">
        <v>0</v>
      </c>
      <c r="G8" s="12">
        <v>1</v>
      </c>
      <c r="H8" s="8">
        <v>0.18</v>
      </c>
      <c r="I8" s="12">
        <v>0</v>
      </c>
    </row>
    <row r="9" spans="2:9" ht="15" customHeight="1" x14ac:dyDescent="0.2">
      <c r="B9" t="s">
        <v>78</v>
      </c>
      <c r="C9" s="12">
        <v>7</v>
      </c>
      <c r="D9" s="8">
        <v>0.61</v>
      </c>
      <c r="E9" s="12">
        <v>0</v>
      </c>
      <c r="F9" s="8">
        <v>0</v>
      </c>
      <c r="G9" s="12">
        <v>7</v>
      </c>
      <c r="H9" s="8">
        <v>1.23</v>
      </c>
      <c r="I9" s="12">
        <v>0</v>
      </c>
    </row>
    <row r="10" spans="2:9" ht="15" customHeight="1" x14ac:dyDescent="0.2">
      <c r="B10" t="s">
        <v>79</v>
      </c>
      <c r="C10" s="12">
        <v>9</v>
      </c>
      <c r="D10" s="8">
        <v>0.79</v>
      </c>
      <c r="E10" s="12">
        <v>1</v>
      </c>
      <c r="F10" s="8">
        <v>0.18</v>
      </c>
      <c r="G10" s="12">
        <v>8</v>
      </c>
      <c r="H10" s="8">
        <v>1.41</v>
      </c>
      <c r="I10" s="12">
        <v>0</v>
      </c>
    </row>
    <row r="11" spans="2:9" ht="15" customHeight="1" x14ac:dyDescent="0.2">
      <c r="B11" t="s">
        <v>80</v>
      </c>
      <c r="C11" s="12">
        <v>208</v>
      </c>
      <c r="D11" s="8">
        <v>18.25</v>
      </c>
      <c r="E11" s="12">
        <v>100</v>
      </c>
      <c r="F11" s="8">
        <v>17.73</v>
      </c>
      <c r="G11" s="12">
        <v>108</v>
      </c>
      <c r="H11" s="8">
        <v>19.05</v>
      </c>
      <c r="I11" s="12">
        <v>0</v>
      </c>
    </row>
    <row r="12" spans="2:9" ht="15" customHeight="1" x14ac:dyDescent="0.2">
      <c r="B12" t="s">
        <v>81</v>
      </c>
      <c r="C12" s="12">
        <v>11</v>
      </c>
      <c r="D12" s="8">
        <v>0.96</v>
      </c>
      <c r="E12" s="12">
        <v>1</v>
      </c>
      <c r="F12" s="8">
        <v>0.18</v>
      </c>
      <c r="G12" s="12">
        <v>10</v>
      </c>
      <c r="H12" s="8">
        <v>1.76</v>
      </c>
      <c r="I12" s="12">
        <v>0</v>
      </c>
    </row>
    <row r="13" spans="2:9" ht="15" customHeight="1" x14ac:dyDescent="0.2">
      <c r="B13" t="s">
        <v>82</v>
      </c>
      <c r="C13" s="12">
        <v>111</v>
      </c>
      <c r="D13" s="8">
        <v>9.74</v>
      </c>
      <c r="E13" s="12">
        <v>33</v>
      </c>
      <c r="F13" s="8">
        <v>5.85</v>
      </c>
      <c r="G13" s="12">
        <v>77</v>
      </c>
      <c r="H13" s="8">
        <v>13.58</v>
      </c>
      <c r="I13" s="12">
        <v>1</v>
      </c>
    </row>
    <row r="14" spans="2:9" ht="15" customHeight="1" x14ac:dyDescent="0.2">
      <c r="B14" t="s">
        <v>83</v>
      </c>
      <c r="C14" s="12">
        <v>78</v>
      </c>
      <c r="D14" s="8">
        <v>6.84</v>
      </c>
      <c r="E14" s="12">
        <v>37</v>
      </c>
      <c r="F14" s="8">
        <v>6.56</v>
      </c>
      <c r="G14" s="12">
        <v>41</v>
      </c>
      <c r="H14" s="8">
        <v>7.23</v>
      </c>
      <c r="I14" s="12">
        <v>0</v>
      </c>
    </row>
    <row r="15" spans="2:9" ht="15" customHeight="1" x14ac:dyDescent="0.2">
      <c r="B15" t="s">
        <v>84</v>
      </c>
      <c r="C15" s="12">
        <v>122</v>
      </c>
      <c r="D15" s="8">
        <v>10.7</v>
      </c>
      <c r="E15" s="12">
        <v>100</v>
      </c>
      <c r="F15" s="8">
        <v>17.73</v>
      </c>
      <c r="G15" s="12">
        <v>21</v>
      </c>
      <c r="H15" s="8">
        <v>3.7</v>
      </c>
      <c r="I15" s="12">
        <v>1</v>
      </c>
    </row>
    <row r="16" spans="2:9" ht="15" customHeight="1" x14ac:dyDescent="0.2">
      <c r="B16" t="s">
        <v>85</v>
      </c>
      <c r="C16" s="12">
        <v>167</v>
      </c>
      <c r="D16" s="8">
        <v>14.65</v>
      </c>
      <c r="E16" s="12">
        <v>132</v>
      </c>
      <c r="F16" s="8">
        <v>23.4</v>
      </c>
      <c r="G16" s="12">
        <v>35</v>
      </c>
      <c r="H16" s="8">
        <v>6.17</v>
      </c>
      <c r="I16" s="12">
        <v>0</v>
      </c>
    </row>
    <row r="17" spans="2:9" ht="15" customHeight="1" x14ac:dyDescent="0.2">
      <c r="B17" t="s">
        <v>86</v>
      </c>
      <c r="C17" s="12">
        <v>74</v>
      </c>
      <c r="D17" s="8">
        <v>6.49</v>
      </c>
      <c r="E17" s="12">
        <v>47</v>
      </c>
      <c r="F17" s="8">
        <v>8.33</v>
      </c>
      <c r="G17" s="12">
        <v>20</v>
      </c>
      <c r="H17" s="8">
        <v>3.53</v>
      </c>
      <c r="I17" s="12">
        <v>0</v>
      </c>
    </row>
    <row r="18" spans="2:9" ht="15" customHeight="1" x14ac:dyDescent="0.2">
      <c r="B18" t="s">
        <v>87</v>
      </c>
      <c r="C18" s="12">
        <v>73</v>
      </c>
      <c r="D18" s="8">
        <v>6.4</v>
      </c>
      <c r="E18" s="12">
        <v>51</v>
      </c>
      <c r="F18" s="8">
        <v>9.0399999999999991</v>
      </c>
      <c r="G18" s="12">
        <v>22</v>
      </c>
      <c r="H18" s="8">
        <v>3.88</v>
      </c>
      <c r="I18" s="12">
        <v>0</v>
      </c>
    </row>
    <row r="19" spans="2:9" ht="15" customHeight="1" x14ac:dyDescent="0.2">
      <c r="B19" t="s">
        <v>88</v>
      </c>
      <c r="C19" s="12">
        <v>33</v>
      </c>
      <c r="D19" s="8">
        <v>2.89</v>
      </c>
      <c r="E19" s="12">
        <v>8</v>
      </c>
      <c r="F19" s="8">
        <v>1.42</v>
      </c>
      <c r="G19" s="12">
        <v>25</v>
      </c>
      <c r="H19" s="8">
        <v>4.41</v>
      </c>
      <c r="I19" s="12">
        <v>0</v>
      </c>
    </row>
    <row r="20" spans="2:9" ht="15" customHeight="1" x14ac:dyDescent="0.2">
      <c r="B20" s="9" t="s">
        <v>269</v>
      </c>
      <c r="C20" s="12">
        <f>SUM(LTBL_11241[総数／事業所数])</f>
        <v>1140</v>
      </c>
      <c r="E20" s="12">
        <f>SUBTOTAL(109,LTBL_11241[個人／事業所数])</f>
        <v>564</v>
      </c>
      <c r="G20" s="12">
        <f>SUBTOTAL(109,LTBL_11241[法人／事業所数])</f>
        <v>567</v>
      </c>
      <c r="I20" s="12">
        <f>SUBTOTAL(109,LTBL_11241[法人以外の団体／事業所数])</f>
        <v>2</v>
      </c>
    </row>
    <row r="21" spans="2:9" ht="15" customHeight="1" x14ac:dyDescent="0.2">
      <c r="E21" s="11">
        <f>LTBL_11241[[#Totals],[個人／事業所数]]/LTBL_11241[[#Totals],[総数／事業所数]]</f>
        <v>0.49473684210526314</v>
      </c>
      <c r="G21" s="11">
        <f>LTBL_11241[[#Totals],[法人／事業所数]]/LTBL_11241[[#Totals],[総数／事業所数]]</f>
        <v>0.49736842105263157</v>
      </c>
      <c r="I21" s="11">
        <f>LTBL_11241[[#Totals],[法人以外の団体／事業所数]]/LTBL_11241[[#Totals],[総数／事業所数]]</f>
        <v>1.7543859649122807E-3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139</v>
      </c>
      <c r="D24" s="8">
        <v>12.19</v>
      </c>
      <c r="E24" s="12">
        <v>120</v>
      </c>
      <c r="F24" s="8">
        <v>21.28</v>
      </c>
      <c r="G24" s="12">
        <v>19</v>
      </c>
      <c r="H24" s="8">
        <v>3.35</v>
      </c>
      <c r="I24" s="12">
        <v>0</v>
      </c>
    </row>
    <row r="25" spans="2:9" ht="15" customHeight="1" x14ac:dyDescent="0.2">
      <c r="B25" t="s">
        <v>111</v>
      </c>
      <c r="C25" s="12">
        <v>113</v>
      </c>
      <c r="D25" s="8">
        <v>9.91</v>
      </c>
      <c r="E25" s="12">
        <v>96</v>
      </c>
      <c r="F25" s="8">
        <v>17.02</v>
      </c>
      <c r="G25" s="12">
        <v>16</v>
      </c>
      <c r="H25" s="8">
        <v>2.82</v>
      </c>
      <c r="I25" s="12">
        <v>1</v>
      </c>
    </row>
    <row r="26" spans="2:9" ht="15" customHeight="1" x14ac:dyDescent="0.2">
      <c r="B26" t="s">
        <v>108</v>
      </c>
      <c r="C26" s="12">
        <v>82</v>
      </c>
      <c r="D26" s="8">
        <v>7.19</v>
      </c>
      <c r="E26" s="12">
        <v>33</v>
      </c>
      <c r="F26" s="8">
        <v>5.85</v>
      </c>
      <c r="G26" s="12">
        <v>48</v>
      </c>
      <c r="H26" s="8">
        <v>8.4700000000000006</v>
      </c>
      <c r="I26" s="12">
        <v>1</v>
      </c>
    </row>
    <row r="27" spans="2:9" ht="15" customHeight="1" x14ac:dyDescent="0.2">
      <c r="B27" t="s">
        <v>97</v>
      </c>
      <c r="C27" s="12">
        <v>77</v>
      </c>
      <c r="D27" s="8">
        <v>6.75</v>
      </c>
      <c r="E27" s="12">
        <v>12</v>
      </c>
      <c r="F27" s="8">
        <v>2.13</v>
      </c>
      <c r="G27" s="12">
        <v>65</v>
      </c>
      <c r="H27" s="8">
        <v>11.46</v>
      </c>
      <c r="I27" s="12">
        <v>0</v>
      </c>
    </row>
    <row r="28" spans="2:9" ht="15" customHeight="1" x14ac:dyDescent="0.2">
      <c r="B28" t="s">
        <v>114</v>
      </c>
      <c r="C28" s="12">
        <v>74</v>
      </c>
      <c r="D28" s="8">
        <v>6.49</v>
      </c>
      <c r="E28" s="12">
        <v>47</v>
      </c>
      <c r="F28" s="8">
        <v>8.33</v>
      </c>
      <c r="G28" s="12">
        <v>20</v>
      </c>
      <c r="H28" s="8">
        <v>3.53</v>
      </c>
      <c r="I28" s="12">
        <v>0</v>
      </c>
    </row>
    <row r="29" spans="2:9" ht="15" customHeight="1" x14ac:dyDescent="0.2">
      <c r="B29" t="s">
        <v>99</v>
      </c>
      <c r="C29" s="12">
        <v>60</v>
      </c>
      <c r="D29" s="8">
        <v>5.26</v>
      </c>
      <c r="E29" s="12">
        <v>12</v>
      </c>
      <c r="F29" s="8">
        <v>2.13</v>
      </c>
      <c r="G29" s="12">
        <v>48</v>
      </c>
      <c r="H29" s="8">
        <v>8.4700000000000006</v>
      </c>
      <c r="I29" s="12">
        <v>0</v>
      </c>
    </row>
    <row r="30" spans="2:9" ht="15" customHeight="1" x14ac:dyDescent="0.2">
      <c r="B30" t="s">
        <v>115</v>
      </c>
      <c r="C30" s="12">
        <v>58</v>
      </c>
      <c r="D30" s="8">
        <v>5.09</v>
      </c>
      <c r="E30" s="12">
        <v>51</v>
      </c>
      <c r="F30" s="8">
        <v>9.0399999999999991</v>
      </c>
      <c r="G30" s="12">
        <v>7</v>
      </c>
      <c r="H30" s="8">
        <v>1.23</v>
      </c>
      <c r="I30" s="12">
        <v>0</v>
      </c>
    </row>
    <row r="31" spans="2:9" ht="15" customHeight="1" x14ac:dyDescent="0.2">
      <c r="B31" t="s">
        <v>106</v>
      </c>
      <c r="C31" s="12">
        <v>52</v>
      </c>
      <c r="D31" s="8">
        <v>4.5599999999999996</v>
      </c>
      <c r="E31" s="12">
        <v>24</v>
      </c>
      <c r="F31" s="8">
        <v>4.26</v>
      </c>
      <c r="G31" s="12">
        <v>28</v>
      </c>
      <c r="H31" s="8">
        <v>4.9400000000000004</v>
      </c>
      <c r="I31" s="12">
        <v>0</v>
      </c>
    </row>
    <row r="32" spans="2:9" ht="15" customHeight="1" x14ac:dyDescent="0.2">
      <c r="B32" t="s">
        <v>104</v>
      </c>
      <c r="C32" s="12">
        <v>50</v>
      </c>
      <c r="D32" s="8">
        <v>4.3899999999999997</v>
      </c>
      <c r="E32" s="12">
        <v>37</v>
      </c>
      <c r="F32" s="8">
        <v>6.56</v>
      </c>
      <c r="G32" s="12">
        <v>13</v>
      </c>
      <c r="H32" s="8">
        <v>2.29</v>
      </c>
      <c r="I32" s="12">
        <v>0</v>
      </c>
    </row>
    <row r="33" spans="2:9" ht="15" customHeight="1" x14ac:dyDescent="0.2">
      <c r="B33" t="s">
        <v>109</v>
      </c>
      <c r="C33" s="12">
        <v>43</v>
      </c>
      <c r="D33" s="8">
        <v>3.77</v>
      </c>
      <c r="E33" s="12">
        <v>29</v>
      </c>
      <c r="F33" s="8">
        <v>5.14</v>
      </c>
      <c r="G33" s="12">
        <v>14</v>
      </c>
      <c r="H33" s="8">
        <v>2.4700000000000002</v>
      </c>
      <c r="I33" s="12">
        <v>0</v>
      </c>
    </row>
    <row r="34" spans="2:9" ht="15" customHeight="1" x14ac:dyDescent="0.2">
      <c r="B34" t="s">
        <v>98</v>
      </c>
      <c r="C34" s="12">
        <v>42</v>
      </c>
      <c r="D34" s="8">
        <v>3.68</v>
      </c>
      <c r="E34" s="12">
        <v>12</v>
      </c>
      <c r="F34" s="8">
        <v>2.13</v>
      </c>
      <c r="G34" s="12">
        <v>30</v>
      </c>
      <c r="H34" s="8">
        <v>5.29</v>
      </c>
      <c r="I34" s="12">
        <v>0</v>
      </c>
    </row>
    <row r="35" spans="2:9" ht="15" customHeight="1" x14ac:dyDescent="0.2">
      <c r="B35" t="s">
        <v>110</v>
      </c>
      <c r="C35" s="12">
        <v>33</v>
      </c>
      <c r="D35" s="8">
        <v>2.89</v>
      </c>
      <c r="E35" s="12">
        <v>8</v>
      </c>
      <c r="F35" s="8">
        <v>1.42</v>
      </c>
      <c r="G35" s="12">
        <v>25</v>
      </c>
      <c r="H35" s="8">
        <v>4.41</v>
      </c>
      <c r="I35" s="12">
        <v>0</v>
      </c>
    </row>
    <row r="36" spans="2:9" ht="15" customHeight="1" x14ac:dyDescent="0.2">
      <c r="B36" t="s">
        <v>105</v>
      </c>
      <c r="C36" s="12">
        <v>30</v>
      </c>
      <c r="D36" s="8">
        <v>2.63</v>
      </c>
      <c r="E36" s="12">
        <v>20</v>
      </c>
      <c r="F36" s="8">
        <v>3.55</v>
      </c>
      <c r="G36" s="12">
        <v>10</v>
      </c>
      <c r="H36" s="8">
        <v>1.76</v>
      </c>
      <c r="I36" s="12">
        <v>0</v>
      </c>
    </row>
    <row r="37" spans="2:9" ht="15" customHeight="1" x14ac:dyDescent="0.2">
      <c r="B37" t="s">
        <v>107</v>
      </c>
      <c r="C37" s="12">
        <v>27</v>
      </c>
      <c r="D37" s="8">
        <v>2.37</v>
      </c>
      <c r="E37" s="12">
        <v>0</v>
      </c>
      <c r="F37" s="8">
        <v>0</v>
      </c>
      <c r="G37" s="12">
        <v>27</v>
      </c>
      <c r="H37" s="8">
        <v>4.76</v>
      </c>
      <c r="I37" s="12">
        <v>0</v>
      </c>
    </row>
    <row r="38" spans="2:9" ht="15" customHeight="1" x14ac:dyDescent="0.2">
      <c r="B38" t="s">
        <v>113</v>
      </c>
      <c r="C38" s="12">
        <v>22</v>
      </c>
      <c r="D38" s="8">
        <v>1.93</v>
      </c>
      <c r="E38" s="12">
        <v>11</v>
      </c>
      <c r="F38" s="8">
        <v>1.95</v>
      </c>
      <c r="G38" s="12">
        <v>11</v>
      </c>
      <c r="H38" s="8">
        <v>1.94</v>
      </c>
      <c r="I38" s="12">
        <v>0</v>
      </c>
    </row>
    <row r="39" spans="2:9" ht="15" customHeight="1" x14ac:dyDescent="0.2">
      <c r="B39" t="s">
        <v>101</v>
      </c>
      <c r="C39" s="12">
        <v>18</v>
      </c>
      <c r="D39" s="8">
        <v>1.58</v>
      </c>
      <c r="E39" s="12">
        <v>2</v>
      </c>
      <c r="F39" s="8">
        <v>0.35</v>
      </c>
      <c r="G39" s="12">
        <v>16</v>
      </c>
      <c r="H39" s="8">
        <v>2.82</v>
      </c>
      <c r="I39" s="12">
        <v>0</v>
      </c>
    </row>
    <row r="40" spans="2:9" ht="15" customHeight="1" x14ac:dyDescent="0.2">
      <c r="B40" t="s">
        <v>103</v>
      </c>
      <c r="C40" s="12">
        <v>15</v>
      </c>
      <c r="D40" s="8">
        <v>1.32</v>
      </c>
      <c r="E40" s="12">
        <v>9</v>
      </c>
      <c r="F40" s="8">
        <v>1.6</v>
      </c>
      <c r="G40" s="12">
        <v>6</v>
      </c>
      <c r="H40" s="8">
        <v>1.06</v>
      </c>
      <c r="I40" s="12">
        <v>0</v>
      </c>
    </row>
    <row r="41" spans="2:9" ht="15" customHeight="1" x14ac:dyDescent="0.2">
      <c r="B41" t="s">
        <v>118</v>
      </c>
      <c r="C41" s="12">
        <v>15</v>
      </c>
      <c r="D41" s="8">
        <v>1.32</v>
      </c>
      <c r="E41" s="12">
        <v>0</v>
      </c>
      <c r="F41" s="8">
        <v>0</v>
      </c>
      <c r="G41" s="12">
        <v>15</v>
      </c>
      <c r="H41" s="8">
        <v>2.65</v>
      </c>
      <c r="I41" s="12">
        <v>0</v>
      </c>
    </row>
    <row r="42" spans="2:9" ht="15" customHeight="1" x14ac:dyDescent="0.2">
      <c r="B42" t="s">
        <v>102</v>
      </c>
      <c r="C42" s="12">
        <v>12</v>
      </c>
      <c r="D42" s="8">
        <v>1.05</v>
      </c>
      <c r="E42" s="12">
        <v>1</v>
      </c>
      <c r="F42" s="8">
        <v>0.18</v>
      </c>
      <c r="G42" s="12">
        <v>11</v>
      </c>
      <c r="H42" s="8">
        <v>1.94</v>
      </c>
      <c r="I42" s="12">
        <v>0</v>
      </c>
    </row>
    <row r="43" spans="2:9" ht="15" customHeight="1" x14ac:dyDescent="0.2">
      <c r="B43" t="s">
        <v>117</v>
      </c>
      <c r="C43" s="12">
        <v>12</v>
      </c>
      <c r="D43" s="8">
        <v>1.05</v>
      </c>
      <c r="E43" s="12">
        <v>3</v>
      </c>
      <c r="F43" s="8">
        <v>0.53</v>
      </c>
      <c r="G43" s="12">
        <v>9</v>
      </c>
      <c r="H43" s="8">
        <v>1.59</v>
      </c>
      <c r="I43" s="12">
        <v>0</v>
      </c>
    </row>
    <row r="44" spans="2:9" ht="15" customHeight="1" x14ac:dyDescent="0.2">
      <c r="B44" t="s">
        <v>119</v>
      </c>
      <c r="C44" s="12">
        <v>12</v>
      </c>
      <c r="D44" s="8">
        <v>1.05</v>
      </c>
      <c r="E44" s="12">
        <v>2</v>
      </c>
      <c r="F44" s="8">
        <v>0.35</v>
      </c>
      <c r="G44" s="12">
        <v>10</v>
      </c>
      <c r="H44" s="8">
        <v>1.76</v>
      </c>
      <c r="I44" s="12">
        <v>0</v>
      </c>
    </row>
    <row r="47" spans="2:9" ht="33" customHeight="1" x14ac:dyDescent="0.2">
      <c r="B47" t="s">
        <v>271</v>
      </c>
      <c r="C47" s="10" t="s">
        <v>90</v>
      </c>
      <c r="D47" s="10" t="s">
        <v>91</v>
      </c>
      <c r="E47" s="10" t="s">
        <v>92</v>
      </c>
      <c r="F47" s="10" t="s">
        <v>93</v>
      </c>
      <c r="G47" s="10" t="s">
        <v>94</v>
      </c>
      <c r="H47" s="10" t="s">
        <v>95</v>
      </c>
      <c r="I47" s="10" t="s">
        <v>96</v>
      </c>
    </row>
    <row r="48" spans="2:9" ht="15" customHeight="1" x14ac:dyDescent="0.2">
      <c r="B48" t="s">
        <v>173</v>
      </c>
      <c r="C48" s="12">
        <v>76</v>
      </c>
      <c r="D48" s="8">
        <v>6.67</v>
      </c>
      <c r="E48" s="12">
        <v>67</v>
      </c>
      <c r="F48" s="8">
        <v>11.88</v>
      </c>
      <c r="G48" s="12">
        <v>9</v>
      </c>
      <c r="H48" s="8">
        <v>1.59</v>
      </c>
      <c r="I48" s="12">
        <v>0</v>
      </c>
    </row>
    <row r="49" spans="2:9" ht="15" customHeight="1" x14ac:dyDescent="0.2">
      <c r="B49" t="s">
        <v>167</v>
      </c>
      <c r="C49" s="12">
        <v>46</v>
      </c>
      <c r="D49" s="8">
        <v>4.04</v>
      </c>
      <c r="E49" s="12">
        <v>25</v>
      </c>
      <c r="F49" s="8">
        <v>4.43</v>
      </c>
      <c r="G49" s="12">
        <v>21</v>
      </c>
      <c r="H49" s="8">
        <v>3.7</v>
      </c>
      <c r="I49" s="12">
        <v>0</v>
      </c>
    </row>
    <row r="50" spans="2:9" ht="15" customHeight="1" x14ac:dyDescent="0.2">
      <c r="B50" t="s">
        <v>172</v>
      </c>
      <c r="C50" s="12">
        <v>45</v>
      </c>
      <c r="D50" s="8">
        <v>3.95</v>
      </c>
      <c r="E50" s="12">
        <v>45</v>
      </c>
      <c r="F50" s="8">
        <v>7.98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174</v>
      </c>
      <c r="C51" s="12">
        <v>43</v>
      </c>
      <c r="D51" s="8">
        <v>3.77</v>
      </c>
      <c r="E51" s="12">
        <v>34</v>
      </c>
      <c r="F51" s="8">
        <v>6.03</v>
      </c>
      <c r="G51" s="12">
        <v>9</v>
      </c>
      <c r="H51" s="8">
        <v>1.59</v>
      </c>
      <c r="I51" s="12">
        <v>0</v>
      </c>
    </row>
    <row r="52" spans="2:9" ht="15" customHeight="1" x14ac:dyDescent="0.2">
      <c r="B52" t="s">
        <v>175</v>
      </c>
      <c r="C52" s="12">
        <v>41</v>
      </c>
      <c r="D52" s="8">
        <v>3.6</v>
      </c>
      <c r="E52" s="12">
        <v>39</v>
      </c>
      <c r="F52" s="8">
        <v>6.91</v>
      </c>
      <c r="G52" s="12">
        <v>2</v>
      </c>
      <c r="H52" s="8">
        <v>0.35</v>
      </c>
      <c r="I52" s="12">
        <v>0</v>
      </c>
    </row>
    <row r="53" spans="2:9" ht="15" customHeight="1" x14ac:dyDescent="0.2">
      <c r="B53" t="s">
        <v>169</v>
      </c>
      <c r="C53" s="12">
        <v>32</v>
      </c>
      <c r="D53" s="8">
        <v>2.81</v>
      </c>
      <c r="E53" s="12">
        <v>28</v>
      </c>
      <c r="F53" s="8">
        <v>4.96</v>
      </c>
      <c r="G53" s="12">
        <v>4</v>
      </c>
      <c r="H53" s="8">
        <v>0.71</v>
      </c>
      <c r="I53" s="12">
        <v>0</v>
      </c>
    </row>
    <row r="54" spans="2:9" ht="15" customHeight="1" x14ac:dyDescent="0.2">
      <c r="B54" t="s">
        <v>160</v>
      </c>
      <c r="C54" s="12">
        <v>28</v>
      </c>
      <c r="D54" s="8">
        <v>2.46</v>
      </c>
      <c r="E54" s="12">
        <v>7</v>
      </c>
      <c r="F54" s="8">
        <v>1.24</v>
      </c>
      <c r="G54" s="12">
        <v>21</v>
      </c>
      <c r="H54" s="8">
        <v>3.7</v>
      </c>
      <c r="I54" s="12">
        <v>0</v>
      </c>
    </row>
    <row r="55" spans="2:9" ht="15" customHeight="1" x14ac:dyDescent="0.2">
      <c r="B55" t="s">
        <v>170</v>
      </c>
      <c r="C55" s="12">
        <v>27</v>
      </c>
      <c r="D55" s="8">
        <v>2.37</v>
      </c>
      <c r="E55" s="12">
        <v>23</v>
      </c>
      <c r="F55" s="8">
        <v>4.08</v>
      </c>
      <c r="G55" s="12">
        <v>4</v>
      </c>
      <c r="H55" s="8">
        <v>0.71</v>
      </c>
      <c r="I55" s="12">
        <v>0</v>
      </c>
    </row>
    <row r="56" spans="2:9" ht="15" customHeight="1" x14ac:dyDescent="0.2">
      <c r="B56" t="s">
        <v>161</v>
      </c>
      <c r="C56" s="12">
        <v>23</v>
      </c>
      <c r="D56" s="8">
        <v>2.02</v>
      </c>
      <c r="E56" s="12">
        <v>5</v>
      </c>
      <c r="F56" s="8">
        <v>0.89</v>
      </c>
      <c r="G56" s="12">
        <v>18</v>
      </c>
      <c r="H56" s="8">
        <v>3.17</v>
      </c>
      <c r="I56" s="12">
        <v>0</v>
      </c>
    </row>
    <row r="57" spans="2:9" ht="15" customHeight="1" x14ac:dyDescent="0.2">
      <c r="B57" t="s">
        <v>162</v>
      </c>
      <c r="C57" s="12">
        <v>22</v>
      </c>
      <c r="D57" s="8">
        <v>1.93</v>
      </c>
      <c r="E57" s="12">
        <v>16</v>
      </c>
      <c r="F57" s="8">
        <v>2.84</v>
      </c>
      <c r="G57" s="12">
        <v>6</v>
      </c>
      <c r="H57" s="8">
        <v>1.06</v>
      </c>
      <c r="I57" s="12">
        <v>0</v>
      </c>
    </row>
    <row r="58" spans="2:9" ht="15" customHeight="1" x14ac:dyDescent="0.2">
      <c r="B58" t="s">
        <v>159</v>
      </c>
      <c r="C58" s="12">
        <v>21</v>
      </c>
      <c r="D58" s="8">
        <v>1.84</v>
      </c>
      <c r="E58" s="12">
        <v>4</v>
      </c>
      <c r="F58" s="8">
        <v>0.71</v>
      </c>
      <c r="G58" s="12">
        <v>17</v>
      </c>
      <c r="H58" s="8">
        <v>3</v>
      </c>
      <c r="I58" s="12">
        <v>0</v>
      </c>
    </row>
    <row r="59" spans="2:9" ht="15" customHeight="1" x14ac:dyDescent="0.2">
      <c r="B59" t="s">
        <v>165</v>
      </c>
      <c r="C59" s="12">
        <v>20</v>
      </c>
      <c r="D59" s="8">
        <v>1.75</v>
      </c>
      <c r="E59" s="12">
        <v>0</v>
      </c>
      <c r="F59" s="8">
        <v>0</v>
      </c>
      <c r="G59" s="12">
        <v>20</v>
      </c>
      <c r="H59" s="8">
        <v>3.53</v>
      </c>
      <c r="I59" s="12">
        <v>0</v>
      </c>
    </row>
    <row r="60" spans="2:9" ht="15" customHeight="1" x14ac:dyDescent="0.2">
      <c r="B60" t="s">
        <v>158</v>
      </c>
      <c r="C60" s="12">
        <v>19</v>
      </c>
      <c r="D60" s="8">
        <v>1.67</v>
      </c>
      <c r="E60" s="12">
        <v>2</v>
      </c>
      <c r="F60" s="8">
        <v>0.35</v>
      </c>
      <c r="G60" s="12">
        <v>17</v>
      </c>
      <c r="H60" s="8">
        <v>3</v>
      </c>
      <c r="I60" s="12">
        <v>0</v>
      </c>
    </row>
    <row r="61" spans="2:9" ht="15" customHeight="1" x14ac:dyDescent="0.2">
      <c r="B61" t="s">
        <v>177</v>
      </c>
      <c r="C61" s="12">
        <v>18</v>
      </c>
      <c r="D61" s="8">
        <v>1.58</v>
      </c>
      <c r="E61" s="12">
        <v>6</v>
      </c>
      <c r="F61" s="8">
        <v>1.06</v>
      </c>
      <c r="G61" s="12">
        <v>12</v>
      </c>
      <c r="H61" s="8">
        <v>2.12</v>
      </c>
      <c r="I61" s="12">
        <v>0</v>
      </c>
    </row>
    <row r="62" spans="2:9" ht="15" customHeight="1" x14ac:dyDescent="0.2">
      <c r="B62" t="s">
        <v>168</v>
      </c>
      <c r="C62" s="12">
        <v>17</v>
      </c>
      <c r="D62" s="8">
        <v>1.49</v>
      </c>
      <c r="E62" s="12">
        <v>0</v>
      </c>
      <c r="F62" s="8">
        <v>0</v>
      </c>
      <c r="G62" s="12">
        <v>16</v>
      </c>
      <c r="H62" s="8">
        <v>2.82</v>
      </c>
      <c r="I62" s="12">
        <v>1</v>
      </c>
    </row>
    <row r="63" spans="2:9" ht="15" customHeight="1" x14ac:dyDescent="0.2">
      <c r="B63" t="s">
        <v>178</v>
      </c>
      <c r="C63" s="12">
        <v>17</v>
      </c>
      <c r="D63" s="8">
        <v>1.49</v>
      </c>
      <c r="E63" s="12">
        <v>3</v>
      </c>
      <c r="F63" s="8">
        <v>0.53</v>
      </c>
      <c r="G63" s="12">
        <v>14</v>
      </c>
      <c r="H63" s="8">
        <v>2.4700000000000002</v>
      </c>
      <c r="I63" s="12">
        <v>0</v>
      </c>
    </row>
    <row r="64" spans="2:9" ht="15" customHeight="1" x14ac:dyDescent="0.2">
      <c r="B64" t="s">
        <v>179</v>
      </c>
      <c r="C64" s="12">
        <v>17</v>
      </c>
      <c r="D64" s="8">
        <v>1.49</v>
      </c>
      <c r="E64" s="12">
        <v>13</v>
      </c>
      <c r="F64" s="8">
        <v>2.2999999999999998</v>
      </c>
      <c r="G64" s="12">
        <v>4</v>
      </c>
      <c r="H64" s="8">
        <v>0.71</v>
      </c>
      <c r="I64" s="12">
        <v>0</v>
      </c>
    </row>
    <row r="65" spans="2:9" ht="15" customHeight="1" x14ac:dyDescent="0.2">
      <c r="B65" t="s">
        <v>188</v>
      </c>
      <c r="C65" s="12">
        <v>16</v>
      </c>
      <c r="D65" s="8">
        <v>1.4</v>
      </c>
      <c r="E65" s="12">
        <v>11</v>
      </c>
      <c r="F65" s="8">
        <v>1.95</v>
      </c>
      <c r="G65" s="12">
        <v>5</v>
      </c>
      <c r="H65" s="8">
        <v>0.88</v>
      </c>
      <c r="I65" s="12">
        <v>0</v>
      </c>
    </row>
    <row r="66" spans="2:9" ht="15" customHeight="1" x14ac:dyDescent="0.2">
      <c r="B66" t="s">
        <v>206</v>
      </c>
      <c r="C66" s="12">
        <v>16</v>
      </c>
      <c r="D66" s="8">
        <v>1.4</v>
      </c>
      <c r="E66" s="12">
        <v>13</v>
      </c>
      <c r="F66" s="8">
        <v>2.2999999999999998</v>
      </c>
      <c r="G66" s="12">
        <v>3</v>
      </c>
      <c r="H66" s="8">
        <v>0.53</v>
      </c>
      <c r="I66" s="12">
        <v>0</v>
      </c>
    </row>
    <row r="67" spans="2:9" ht="15" customHeight="1" x14ac:dyDescent="0.2">
      <c r="B67" t="s">
        <v>157</v>
      </c>
      <c r="C67" s="12">
        <v>15</v>
      </c>
      <c r="D67" s="8">
        <v>1.32</v>
      </c>
      <c r="E67" s="12">
        <v>0</v>
      </c>
      <c r="F67" s="8">
        <v>0</v>
      </c>
      <c r="G67" s="12">
        <v>15</v>
      </c>
      <c r="H67" s="8">
        <v>2.65</v>
      </c>
      <c r="I67" s="12">
        <v>0</v>
      </c>
    </row>
    <row r="68" spans="2:9" ht="15" customHeight="1" x14ac:dyDescent="0.2">
      <c r="B68" t="s">
        <v>163</v>
      </c>
      <c r="C68" s="12">
        <v>15</v>
      </c>
      <c r="D68" s="8">
        <v>1.32</v>
      </c>
      <c r="E68" s="12">
        <v>8</v>
      </c>
      <c r="F68" s="8">
        <v>1.42</v>
      </c>
      <c r="G68" s="12">
        <v>7</v>
      </c>
      <c r="H68" s="8">
        <v>1.23</v>
      </c>
      <c r="I68" s="12">
        <v>0</v>
      </c>
    </row>
    <row r="70" spans="2:9" ht="15" customHeight="1" x14ac:dyDescent="0.2">
      <c r="B70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B93A8-CD2A-46EF-AB05-78D53CE45125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319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219</v>
      </c>
      <c r="D6" s="8">
        <v>21.49</v>
      </c>
      <c r="E6" s="12">
        <v>66</v>
      </c>
      <c r="F6" s="8">
        <v>14.77</v>
      </c>
      <c r="G6" s="12">
        <v>153</v>
      </c>
      <c r="H6" s="8">
        <v>26.98</v>
      </c>
      <c r="I6" s="12">
        <v>0</v>
      </c>
    </row>
    <row r="7" spans="2:9" ht="15" customHeight="1" x14ac:dyDescent="0.2">
      <c r="B7" t="s">
        <v>76</v>
      </c>
      <c r="C7" s="12">
        <v>159</v>
      </c>
      <c r="D7" s="8">
        <v>15.6</v>
      </c>
      <c r="E7" s="12">
        <v>41</v>
      </c>
      <c r="F7" s="8">
        <v>9.17</v>
      </c>
      <c r="G7" s="12">
        <v>118</v>
      </c>
      <c r="H7" s="8">
        <v>20.81</v>
      </c>
      <c r="I7" s="12">
        <v>0</v>
      </c>
    </row>
    <row r="8" spans="2:9" ht="15" customHeight="1" x14ac:dyDescent="0.2">
      <c r="B8" t="s">
        <v>77</v>
      </c>
      <c r="C8" s="12">
        <v>2</v>
      </c>
      <c r="D8" s="8">
        <v>0.2</v>
      </c>
      <c r="E8" s="12">
        <v>0</v>
      </c>
      <c r="F8" s="8">
        <v>0</v>
      </c>
      <c r="G8" s="12">
        <v>2</v>
      </c>
      <c r="H8" s="8">
        <v>0.35</v>
      </c>
      <c r="I8" s="12">
        <v>0</v>
      </c>
    </row>
    <row r="9" spans="2:9" ht="15" customHeight="1" x14ac:dyDescent="0.2">
      <c r="B9" t="s">
        <v>78</v>
      </c>
      <c r="C9" s="12">
        <v>11</v>
      </c>
      <c r="D9" s="8">
        <v>1.08</v>
      </c>
      <c r="E9" s="12">
        <v>1</v>
      </c>
      <c r="F9" s="8">
        <v>0.22</v>
      </c>
      <c r="G9" s="12">
        <v>10</v>
      </c>
      <c r="H9" s="8">
        <v>1.76</v>
      </c>
      <c r="I9" s="12">
        <v>0</v>
      </c>
    </row>
    <row r="10" spans="2:9" ht="15" customHeight="1" x14ac:dyDescent="0.2">
      <c r="B10" t="s">
        <v>79</v>
      </c>
      <c r="C10" s="12">
        <v>21</v>
      </c>
      <c r="D10" s="8">
        <v>2.06</v>
      </c>
      <c r="E10" s="12">
        <v>2</v>
      </c>
      <c r="F10" s="8">
        <v>0.45</v>
      </c>
      <c r="G10" s="12">
        <v>19</v>
      </c>
      <c r="H10" s="8">
        <v>3.35</v>
      </c>
      <c r="I10" s="12">
        <v>0</v>
      </c>
    </row>
    <row r="11" spans="2:9" ht="15" customHeight="1" x14ac:dyDescent="0.2">
      <c r="B11" t="s">
        <v>80</v>
      </c>
      <c r="C11" s="12">
        <v>178</v>
      </c>
      <c r="D11" s="8">
        <v>17.47</v>
      </c>
      <c r="E11" s="12">
        <v>84</v>
      </c>
      <c r="F11" s="8">
        <v>18.79</v>
      </c>
      <c r="G11" s="12">
        <v>94</v>
      </c>
      <c r="H11" s="8">
        <v>16.579999999999998</v>
      </c>
      <c r="I11" s="12">
        <v>0</v>
      </c>
    </row>
    <row r="12" spans="2:9" ht="15" customHeight="1" x14ac:dyDescent="0.2">
      <c r="B12" t="s">
        <v>81</v>
      </c>
      <c r="C12" s="12">
        <v>3</v>
      </c>
      <c r="D12" s="8">
        <v>0.28999999999999998</v>
      </c>
      <c r="E12" s="12">
        <v>1</v>
      </c>
      <c r="F12" s="8">
        <v>0.22</v>
      </c>
      <c r="G12" s="12">
        <v>2</v>
      </c>
      <c r="H12" s="8">
        <v>0.35</v>
      </c>
      <c r="I12" s="12">
        <v>0</v>
      </c>
    </row>
    <row r="13" spans="2:9" ht="15" customHeight="1" x14ac:dyDescent="0.2">
      <c r="B13" t="s">
        <v>82</v>
      </c>
      <c r="C13" s="12">
        <v>63</v>
      </c>
      <c r="D13" s="8">
        <v>6.18</v>
      </c>
      <c r="E13" s="12">
        <v>10</v>
      </c>
      <c r="F13" s="8">
        <v>2.2400000000000002</v>
      </c>
      <c r="G13" s="12">
        <v>53</v>
      </c>
      <c r="H13" s="8">
        <v>9.35</v>
      </c>
      <c r="I13" s="12">
        <v>0</v>
      </c>
    </row>
    <row r="14" spans="2:9" ht="15" customHeight="1" x14ac:dyDescent="0.2">
      <c r="B14" t="s">
        <v>83</v>
      </c>
      <c r="C14" s="12">
        <v>38</v>
      </c>
      <c r="D14" s="8">
        <v>3.73</v>
      </c>
      <c r="E14" s="12">
        <v>13</v>
      </c>
      <c r="F14" s="8">
        <v>2.91</v>
      </c>
      <c r="G14" s="12">
        <v>25</v>
      </c>
      <c r="H14" s="8">
        <v>4.41</v>
      </c>
      <c r="I14" s="12">
        <v>0</v>
      </c>
    </row>
    <row r="15" spans="2:9" ht="15" customHeight="1" x14ac:dyDescent="0.2">
      <c r="B15" t="s">
        <v>84</v>
      </c>
      <c r="C15" s="12">
        <v>102</v>
      </c>
      <c r="D15" s="8">
        <v>10.01</v>
      </c>
      <c r="E15" s="12">
        <v>83</v>
      </c>
      <c r="F15" s="8">
        <v>18.57</v>
      </c>
      <c r="G15" s="12">
        <v>19</v>
      </c>
      <c r="H15" s="8">
        <v>3.35</v>
      </c>
      <c r="I15" s="12">
        <v>0</v>
      </c>
    </row>
    <row r="16" spans="2:9" ht="15" customHeight="1" x14ac:dyDescent="0.2">
      <c r="B16" t="s">
        <v>85</v>
      </c>
      <c r="C16" s="12">
        <v>100</v>
      </c>
      <c r="D16" s="8">
        <v>9.81</v>
      </c>
      <c r="E16" s="12">
        <v>75</v>
      </c>
      <c r="F16" s="8">
        <v>16.78</v>
      </c>
      <c r="G16" s="12">
        <v>23</v>
      </c>
      <c r="H16" s="8">
        <v>4.0599999999999996</v>
      </c>
      <c r="I16" s="12">
        <v>2</v>
      </c>
    </row>
    <row r="17" spans="2:9" ht="15" customHeight="1" x14ac:dyDescent="0.2">
      <c r="B17" t="s">
        <v>86</v>
      </c>
      <c r="C17" s="12">
        <v>36</v>
      </c>
      <c r="D17" s="8">
        <v>3.53</v>
      </c>
      <c r="E17" s="12">
        <v>27</v>
      </c>
      <c r="F17" s="8">
        <v>6.04</v>
      </c>
      <c r="G17" s="12">
        <v>6</v>
      </c>
      <c r="H17" s="8">
        <v>1.06</v>
      </c>
      <c r="I17" s="12">
        <v>0</v>
      </c>
    </row>
    <row r="18" spans="2:9" ht="15" customHeight="1" x14ac:dyDescent="0.2">
      <c r="B18" t="s">
        <v>87</v>
      </c>
      <c r="C18" s="12">
        <v>36</v>
      </c>
      <c r="D18" s="8">
        <v>3.53</v>
      </c>
      <c r="E18" s="12">
        <v>19</v>
      </c>
      <c r="F18" s="8">
        <v>4.25</v>
      </c>
      <c r="G18" s="12">
        <v>17</v>
      </c>
      <c r="H18" s="8">
        <v>3</v>
      </c>
      <c r="I18" s="12">
        <v>0</v>
      </c>
    </row>
    <row r="19" spans="2:9" ht="15" customHeight="1" x14ac:dyDescent="0.2">
      <c r="B19" t="s">
        <v>88</v>
      </c>
      <c r="C19" s="12">
        <v>51</v>
      </c>
      <c r="D19" s="8">
        <v>5</v>
      </c>
      <c r="E19" s="12">
        <v>25</v>
      </c>
      <c r="F19" s="8">
        <v>5.59</v>
      </c>
      <c r="G19" s="12">
        <v>26</v>
      </c>
      <c r="H19" s="8">
        <v>4.59</v>
      </c>
      <c r="I19" s="12">
        <v>0</v>
      </c>
    </row>
    <row r="20" spans="2:9" ht="15" customHeight="1" x14ac:dyDescent="0.2">
      <c r="B20" s="9" t="s">
        <v>269</v>
      </c>
      <c r="C20" s="12">
        <f>SUM(LTBL_11242[総数／事業所数])</f>
        <v>1019</v>
      </c>
      <c r="E20" s="12">
        <f>SUBTOTAL(109,LTBL_11242[個人／事業所数])</f>
        <v>447</v>
      </c>
      <c r="G20" s="12">
        <f>SUBTOTAL(109,LTBL_11242[法人／事業所数])</f>
        <v>567</v>
      </c>
      <c r="I20" s="12">
        <f>SUBTOTAL(109,LTBL_11242[法人以外の団体／事業所数])</f>
        <v>2</v>
      </c>
    </row>
    <row r="21" spans="2:9" ht="15" customHeight="1" x14ac:dyDescent="0.2">
      <c r="E21" s="11">
        <f>LTBL_11242[[#Totals],[個人／事業所数]]/LTBL_11242[[#Totals],[総数／事業所数]]</f>
        <v>0.43866535819430813</v>
      </c>
      <c r="G21" s="11">
        <f>LTBL_11242[[#Totals],[法人／事業所数]]/LTBL_11242[[#Totals],[総数／事業所数]]</f>
        <v>0.55642787046123654</v>
      </c>
      <c r="I21" s="11">
        <f>LTBL_11242[[#Totals],[法人以外の団体／事業所数]]/LTBL_11242[[#Totals],[総数／事業所数]]</f>
        <v>1.9627085377821392E-3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97</v>
      </c>
      <c r="C24" s="12">
        <v>101</v>
      </c>
      <c r="D24" s="8">
        <v>9.91</v>
      </c>
      <c r="E24" s="12">
        <v>26</v>
      </c>
      <c r="F24" s="8">
        <v>5.82</v>
      </c>
      <c r="G24" s="12">
        <v>75</v>
      </c>
      <c r="H24" s="8">
        <v>13.23</v>
      </c>
      <c r="I24" s="12">
        <v>0</v>
      </c>
    </row>
    <row r="25" spans="2:9" ht="15" customHeight="1" x14ac:dyDescent="0.2">
      <c r="B25" t="s">
        <v>111</v>
      </c>
      <c r="C25" s="12">
        <v>93</v>
      </c>
      <c r="D25" s="8">
        <v>9.1300000000000008</v>
      </c>
      <c r="E25" s="12">
        <v>81</v>
      </c>
      <c r="F25" s="8">
        <v>18.12</v>
      </c>
      <c r="G25" s="12">
        <v>12</v>
      </c>
      <c r="H25" s="8">
        <v>2.12</v>
      </c>
      <c r="I25" s="12">
        <v>0</v>
      </c>
    </row>
    <row r="26" spans="2:9" ht="15" customHeight="1" x14ac:dyDescent="0.2">
      <c r="B26" t="s">
        <v>112</v>
      </c>
      <c r="C26" s="12">
        <v>84</v>
      </c>
      <c r="D26" s="8">
        <v>8.24</v>
      </c>
      <c r="E26" s="12">
        <v>68</v>
      </c>
      <c r="F26" s="8">
        <v>15.21</v>
      </c>
      <c r="G26" s="12">
        <v>15</v>
      </c>
      <c r="H26" s="8">
        <v>2.65</v>
      </c>
      <c r="I26" s="12">
        <v>1</v>
      </c>
    </row>
    <row r="27" spans="2:9" ht="15" customHeight="1" x14ac:dyDescent="0.2">
      <c r="B27" t="s">
        <v>98</v>
      </c>
      <c r="C27" s="12">
        <v>71</v>
      </c>
      <c r="D27" s="8">
        <v>6.97</v>
      </c>
      <c r="E27" s="12">
        <v>29</v>
      </c>
      <c r="F27" s="8">
        <v>6.49</v>
      </c>
      <c r="G27" s="12">
        <v>42</v>
      </c>
      <c r="H27" s="8">
        <v>7.41</v>
      </c>
      <c r="I27" s="12">
        <v>0</v>
      </c>
    </row>
    <row r="28" spans="2:9" ht="15" customHeight="1" x14ac:dyDescent="0.2">
      <c r="B28" t="s">
        <v>99</v>
      </c>
      <c r="C28" s="12">
        <v>47</v>
      </c>
      <c r="D28" s="8">
        <v>4.6100000000000003</v>
      </c>
      <c r="E28" s="12">
        <v>11</v>
      </c>
      <c r="F28" s="8">
        <v>2.46</v>
      </c>
      <c r="G28" s="12">
        <v>36</v>
      </c>
      <c r="H28" s="8">
        <v>6.35</v>
      </c>
      <c r="I28" s="12">
        <v>0</v>
      </c>
    </row>
    <row r="29" spans="2:9" ht="15" customHeight="1" x14ac:dyDescent="0.2">
      <c r="B29" t="s">
        <v>106</v>
      </c>
      <c r="C29" s="12">
        <v>44</v>
      </c>
      <c r="D29" s="8">
        <v>4.32</v>
      </c>
      <c r="E29" s="12">
        <v>25</v>
      </c>
      <c r="F29" s="8">
        <v>5.59</v>
      </c>
      <c r="G29" s="12">
        <v>19</v>
      </c>
      <c r="H29" s="8">
        <v>3.35</v>
      </c>
      <c r="I29" s="12">
        <v>0</v>
      </c>
    </row>
    <row r="30" spans="2:9" ht="15" customHeight="1" x14ac:dyDescent="0.2">
      <c r="B30" t="s">
        <v>108</v>
      </c>
      <c r="C30" s="12">
        <v>39</v>
      </c>
      <c r="D30" s="8">
        <v>3.83</v>
      </c>
      <c r="E30" s="12">
        <v>7</v>
      </c>
      <c r="F30" s="8">
        <v>1.57</v>
      </c>
      <c r="G30" s="12">
        <v>32</v>
      </c>
      <c r="H30" s="8">
        <v>5.64</v>
      </c>
      <c r="I30" s="12">
        <v>0</v>
      </c>
    </row>
    <row r="31" spans="2:9" ht="15" customHeight="1" x14ac:dyDescent="0.2">
      <c r="B31" t="s">
        <v>105</v>
      </c>
      <c r="C31" s="12">
        <v>37</v>
      </c>
      <c r="D31" s="8">
        <v>3.63</v>
      </c>
      <c r="E31" s="12">
        <v>26</v>
      </c>
      <c r="F31" s="8">
        <v>5.82</v>
      </c>
      <c r="G31" s="12">
        <v>11</v>
      </c>
      <c r="H31" s="8">
        <v>1.94</v>
      </c>
      <c r="I31" s="12">
        <v>0</v>
      </c>
    </row>
    <row r="32" spans="2:9" ht="15" customHeight="1" x14ac:dyDescent="0.2">
      <c r="B32" t="s">
        <v>114</v>
      </c>
      <c r="C32" s="12">
        <v>36</v>
      </c>
      <c r="D32" s="8">
        <v>3.53</v>
      </c>
      <c r="E32" s="12">
        <v>27</v>
      </c>
      <c r="F32" s="8">
        <v>6.04</v>
      </c>
      <c r="G32" s="12">
        <v>6</v>
      </c>
      <c r="H32" s="8">
        <v>1.06</v>
      </c>
      <c r="I32" s="12">
        <v>0</v>
      </c>
    </row>
    <row r="33" spans="2:9" ht="15" customHeight="1" x14ac:dyDescent="0.2">
      <c r="B33" t="s">
        <v>100</v>
      </c>
      <c r="C33" s="12">
        <v>35</v>
      </c>
      <c r="D33" s="8">
        <v>3.43</v>
      </c>
      <c r="E33" s="12">
        <v>11</v>
      </c>
      <c r="F33" s="8">
        <v>2.46</v>
      </c>
      <c r="G33" s="12">
        <v>24</v>
      </c>
      <c r="H33" s="8">
        <v>4.2300000000000004</v>
      </c>
      <c r="I33" s="12">
        <v>0</v>
      </c>
    </row>
    <row r="34" spans="2:9" ht="15" customHeight="1" x14ac:dyDescent="0.2">
      <c r="B34" t="s">
        <v>104</v>
      </c>
      <c r="C34" s="12">
        <v>35</v>
      </c>
      <c r="D34" s="8">
        <v>3.43</v>
      </c>
      <c r="E34" s="12">
        <v>18</v>
      </c>
      <c r="F34" s="8">
        <v>4.03</v>
      </c>
      <c r="G34" s="12">
        <v>17</v>
      </c>
      <c r="H34" s="8">
        <v>3</v>
      </c>
      <c r="I34" s="12">
        <v>0</v>
      </c>
    </row>
    <row r="35" spans="2:9" ht="15" customHeight="1" x14ac:dyDescent="0.2">
      <c r="B35" t="s">
        <v>116</v>
      </c>
      <c r="C35" s="12">
        <v>30</v>
      </c>
      <c r="D35" s="8">
        <v>2.94</v>
      </c>
      <c r="E35" s="12">
        <v>21</v>
      </c>
      <c r="F35" s="8">
        <v>4.7</v>
      </c>
      <c r="G35" s="12">
        <v>9</v>
      </c>
      <c r="H35" s="8">
        <v>1.59</v>
      </c>
      <c r="I35" s="12">
        <v>0</v>
      </c>
    </row>
    <row r="36" spans="2:9" ht="15" customHeight="1" x14ac:dyDescent="0.2">
      <c r="B36" t="s">
        <v>120</v>
      </c>
      <c r="C36" s="12">
        <v>24</v>
      </c>
      <c r="D36" s="8">
        <v>2.36</v>
      </c>
      <c r="E36" s="12">
        <v>1</v>
      </c>
      <c r="F36" s="8">
        <v>0.22</v>
      </c>
      <c r="G36" s="12">
        <v>23</v>
      </c>
      <c r="H36" s="8">
        <v>4.0599999999999996</v>
      </c>
      <c r="I36" s="12">
        <v>0</v>
      </c>
    </row>
    <row r="37" spans="2:9" ht="15" customHeight="1" x14ac:dyDescent="0.2">
      <c r="B37" t="s">
        <v>115</v>
      </c>
      <c r="C37" s="12">
        <v>24</v>
      </c>
      <c r="D37" s="8">
        <v>2.36</v>
      </c>
      <c r="E37" s="12">
        <v>19</v>
      </c>
      <c r="F37" s="8">
        <v>4.25</v>
      </c>
      <c r="G37" s="12">
        <v>5</v>
      </c>
      <c r="H37" s="8">
        <v>0.88</v>
      </c>
      <c r="I37" s="12">
        <v>0</v>
      </c>
    </row>
    <row r="38" spans="2:9" ht="15" customHeight="1" x14ac:dyDescent="0.2">
      <c r="B38" t="s">
        <v>107</v>
      </c>
      <c r="C38" s="12">
        <v>22</v>
      </c>
      <c r="D38" s="8">
        <v>2.16</v>
      </c>
      <c r="E38" s="12">
        <v>3</v>
      </c>
      <c r="F38" s="8">
        <v>0.67</v>
      </c>
      <c r="G38" s="12">
        <v>19</v>
      </c>
      <c r="H38" s="8">
        <v>3.35</v>
      </c>
      <c r="I38" s="12">
        <v>0</v>
      </c>
    </row>
    <row r="39" spans="2:9" ht="15" customHeight="1" x14ac:dyDescent="0.2">
      <c r="B39" t="s">
        <v>110</v>
      </c>
      <c r="C39" s="12">
        <v>19</v>
      </c>
      <c r="D39" s="8">
        <v>1.86</v>
      </c>
      <c r="E39" s="12">
        <v>5</v>
      </c>
      <c r="F39" s="8">
        <v>1.1200000000000001</v>
      </c>
      <c r="G39" s="12">
        <v>14</v>
      </c>
      <c r="H39" s="8">
        <v>2.4700000000000002</v>
      </c>
      <c r="I39" s="12">
        <v>0</v>
      </c>
    </row>
    <row r="40" spans="2:9" ht="15" customHeight="1" x14ac:dyDescent="0.2">
      <c r="B40" t="s">
        <v>109</v>
      </c>
      <c r="C40" s="12">
        <v>17</v>
      </c>
      <c r="D40" s="8">
        <v>1.67</v>
      </c>
      <c r="E40" s="12">
        <v>8</v>
      </c>
      <c r="F40" s="8">
        <v>1.79</v>
      </c>
      <c r="G40" s="12">
        <v>9</v>
      </c>
      <c r="H40" s="8">
        <v>1.59</v>
      </c>
      <c r="I40" s="12">
        <v>0</v>
      </c>
    </row>
    <row r="41" spans="2:9" ht="15" customHeight="1" x14ac:dyDescent="0.2">
      <c r="B41" t="s">
        <v>122</v>
      </c>
      <c r="C41" s="12">
        <v>15</v>
      </c>
      <c r="D41" s="8">
        <v>1.47</v>
      </c>
      <c r="E41" s="12">
        <v>1</v>
      </c>
      <c r="F41" s="8">
        <v>0.22</v>
      </c>
      <c r="G41" s="12">
        <v>14</v>
      </c>
      <c r="H41" s="8">
        <v>2.4700000000000002</v>
      </c>
      <c r="I41" s="12">
        <v>0</v>
      </c>
    </row>
    <row r="42" spans="2:9" ht="15" customHeight="1" x14ac:dyDescent="0.2">
      <c r="B42" t="s">
        <v>101</v>
      </c>
      <c r="C42" s="12">
        <v>13</v>
      </c>
      <c r="D42" s="8">
        <v>1.28</v>
      </c>
      <c r="E42" s="12">
        <v>1</v>
      </c>
      <c r="F42" s="8">
        <v>0.22</v>
      </c>
      <c r="G42" s="12">
        <v>12</v>
      </c>
      <c r="H42" s="8">
        <v>2.12</v>
      </c>
      <c r="I42" s="12">
        <v>0</v>
      </c>
    </row>
    <row r="43" spans="2:9" ht="15" customHeight="1" x14ac:dyDescent="0.2">
      <c r="B43" t="s">
        <v>135</v>
      </c>
      <c r="C43" s="12">
        <v>12</v>
      </c>
      <c r="D43" s="8">
        <v>1.18</v>
      </c>
      <c r="E43" s="12">
        <v>3</v>
      </c>
      <c r="F43" s="8">
        <v>0.67</v>
      </c>
      <c r="G43" s="12">
        <v>9</v>
      </c>
      <c r="H43" s="8">
        <v>1.59</v>
      </c>
      <c r="I43" s="12">
        <v>0</v>
      </c>
    </row>
    <row r="44" spans="2:9" ht="15" customHeight="1" x14ac:dyDescent="0.2">
      <c r="B44" t="s">
        <v>125</v>
      </c>
      <c r="C44" s="12">
        <v>12</v>
      </c>
      <c r="D44" s="8">
        <v>1.18</v>
      </c>
      <c r="E44" s="12">
        <v>6</v>
      </c>
      <c r="F44" s="8">
        <v>1.34</v>
      </c>
      <c r="G44" s="12">
        <v>6</v>
      </c>
      <c r="H44" s="8">
        <v>1.06</v>
      </c>
      <c r="I44" s="12">
        <v>0</v>
      </c>
    </row>
    <row r="45" spans="2:9" ht="15" customHeight="1" x14ac:dyDescent="0.2">
      <c r="B45" t="s">
        <v>102</v>
      </c>
      <c r="C45" s="12">
        <v>12</v>
      </c>
      <c r="D45" s="8">
        <v>1.18</v>
      </c>
      <c r="E45" s="12">
        <v>2</v>
      </c>
      <c r="F45" s="8">
        <v>0.45</v>
      </c>
      <c r="G45" s="12">
        <v>10</v>
      </c>
      <c r="H45" s="8">
        <v>1.76</v>
      </c>
      <c r="I45" s="12">
        <v>0</v>
      </c>
    </row>
    <row r="46" spans="2:9" ht="15" customHeight="1" x14ac:dyDescent="0.2">
      <c r="B46" t="s">
        <v>118</v>
      </c>
      <c r="C46" s="12">
        <v>12</v>
      </c>
      <c r="D46" s="8">
        <v>1.18</v>
      </c>
      <c r="E46" s="12">
        <v>0</v>
      </c>
      <c r="F46" s="8">
        <v>0</v>
      </c>
      <c r="G46" s="12">
        <v>12</v>
      </c>
      <c r="H46" s="8">
        <v>2.12</v>
      </c>
      <c r="I46" s="12">
        <v>0</v>
      </c>
    </row>
    <row r="49" spans="2:9" ht="33" customHeight="1" x14ac:dyDescent="0.2">
      <c r="B49" t="s">
        <v>271</v>
      </c>
      <c r="C49" s="10" t="s">
        <v>90</v>
      </c>
      <c r="D49" s="10" t="s">
        <v>91</v>
      </c>
      <c r="E49" s="10" t="s">
        <v>92</v>
      </c>
      <c r="F49" s="10" t="s">
        <v>93</v>
      </c>
      <c r="G49" s="10" t="s">
        <v>94</v>
      </c>
      <c r="H49" s="10" t="s">
        <v>95</v>
      </c>
      <c r="I49" s="10" t="s">
        <v>96</v>
      </c>
    </row>
    <row r="50" spans="2:9" ht="15" customHeight="1" x14ac:dyDescent="0.2">
      <c r="B50" t="s">
        <v>173</v>
      </c>
      <c r="C50" s="12">
        <v>37</v>
      </c>
      <c r="D50" s="8">
        <v>3.63</v>
      </c>
      <c r="E50" s="12">
        <v>32</v>
      </c>
      <c r="F50" s="8">
        <v>7.16</v>
      </c>
      <c r="G50" s="12">
        <v>4</v>
      </c>
      <c r="H50" s="8">
        <v>0.71</v>
      </c>
      <c r="I50" s="12">
        <v>1</v>
      </c>
    </row>
    <row r="51" spans="2:9" ht="15" customHeight="1" x14ac:dyDescent="0.2">
      <c r="B51" t="s">
        <v>157</v>
      </c>
      <c r="C51" s="12">
        <v>36</v>
      </c>
      <c r="D51" s="8">
        <v>3.53</v>
      </c>
      <c r="E51" s="12">
        <v>1</v>
      </c>
      <c r="F51" s="8">
        <v>0.22</v>
      </c>
      <c r="G51" s="12">
        <v>35</v>
      </c>
      <c r="H51" s="8">
        <v>6.17</v>
      </c>
      <c r="I51" s="12">
        <v>0</v>
      </c>
    </row>
    <row r="52" spans="2:9" ht="15" customHeight="1" x14ac:dyDescent="0.2">
      <c r="B52" t="s">
        <v>176</v>
      </c>
      <c r="C52" s="12">
        <v>30</v>
      </c>
      <c r="D52" s="8">
        <v>2.94</v>
      </c>
      <c r="E52" s="12">
        <v>21</v>
      </c>
      <c r="F52" s="8">
        <v>4.7</v>
      </c>
      <c r="G52" s="12">
        <v>9</v>
      </c>
      <c r="H52" s="8">
        <v>1.59</v>
      </c>
      <c r="I52" s="12">
        <v>0</v>
      </c>
    </row>
    <row r="53" spans="2:9" ht="15" customHeight="1" x14ac:dyDescent="0.2">
      <c r="B53" t="s">
        <v>172</v>
      </c>
      <c r="C53" s="12">
        <v>29</v>
      </c>
      <c r="D53" s="8">
        <v>2.85</v>
      </c>
      <c r="E53" s="12">
        <v>26</v>
      </c>
      <c r="F53" s="8">
        <v>5.82</v>
      </c>
      <c r="G53" s="12">
        <v>3</v>
      </c>
      <c r="H53" s="8">
        <v>0.53</v>
      </c>
      <c r="I53" s="12">
        <v>0</v>
      </c>
    </row>
    <row r="54" spans="2:9" ht="15" customHeight="1" x14ac:dyDescent="0.2">
      <c r="B54" t="s">
        <v>170</v>
      </c>
      <c r="C54" s="12">
        <v>26</v>
      </c>
      <c r="D54" s="8">
        <v>2.5499999999999998</v>
      </c>
      <c r="E54" s="12">
        <v>26</v>
      </c>
      <c r="F54" s="8">
        <v>5.82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159</v>
      </c>
      <c r="C55" s="12">
        <v>25</v>
      </c>
      <c r="D55" s="8">
        <v>2.4500000000000002</v>
      </c>
      <c r="E55" s="12">
        <v>13</v>
      </c>
      <c r="F55" s="8">
        <v>2.91</v>
      </c>
      <c r="G55" s="12">
        <v>12</v>
      </c>
      <c r="H55" s="8">
        <v>2.12</v>
      </c>
      <c r="I55" s="12">
        <v>0</v>
      </c>
    </row>
    <row r="56" spans="2:9" ht="15" customHeight="1" x14ac:dyDescent="0.2">
      <c r="B56" t="s">
        <v>163</v>
      </c>
      <c r="C56" s="12">
        <v>24</v>
      </c>
      <c r="D56" s="8">
        <v>2.36</v>
      </c>
      <c r="E56" s="12">
        <v>17</v>
      </c>
      <c r="F56" s="8">
        <v>3.8</v>
      </c>
      <c r="G56" s="12">
        <v>7</v>
      </c>
      <c r="H56" s="8">
        <v>1.23</v>
      </c>
      <c r="I56" s="12">
        <v>0</v>
      </c>
    </row>
    <row r="57" spans="2:9" ht="15" customHeight="1" x14ac:dyDescent="0.2">
      <c r="B57" t="s">
        <v>158</v>
      </c>
      <c r="C57" s="12">
        <v>21</v>
      </c>
      <c r="D57" s="8">
        <v>2.06</v>
      </c>
      <c r="E57" s="12">
        <v>8</v>
      </c>
      <c r="F57" s="8">
        <v>1.79</v>
      </c>
      <c r="G57" s="12">
        <v>13</v>
      </c>
      <c r="H57" s="8">
        <v>2.29</v>
      </c>
      <c r="I57" s="12">
        <v>0</v>
      </c>
    </row>
    <row r="58" spans="2:9" ht="15" customHeight="1" x14ac:dyDescent="0.2">
      <c r="B58" t="s">
        <v>174</v>
      </c>
      <c r="C58" s="12">
        <v>21</v>
      </c>
      <c r="D58" s="8">
        <v>2.06</v>
      </c>
      <c r="E58" s="12">
        <v>18</v>
      </c>
      <c r="F58" s="8">
        <v>4.03</v>
      </c>
      <c r="G58" s="12">
        <v>3</v>
      </c>
      <c r="H58" s="8">
        <v>0.53</v>
      </c>
      <c r="I58" s="12">
        <v>0</v>
      </c>
    </row>
    <row r="59" spans="2:9" ht="15" customHeight="1" x14ac:dyDescent="0.2">
      <c r="B59" t="s">
        <v>160</v>
      </c>
      <c r="C59" s="12">
        <v>20</v>
      </c>
      <c r="D59" s="8">
        <v>1.96</v>
      </c>
      <c r="E59" s="12">
        <v>6</v>
      </c>
      <c r="F59" s="8">
        <v>1.34</v>
      </c>
      <c r="G59" s="12">
        <v>14</v>
      </c>
      <c r="H59" s="8">
        <v>2.4700000000000002</v>
      </c>
      <c r="I59" s="12">
        <v>0</v>
      </c>
    </row>
    <row r="60" spans="2:9" ht="15" customHeight="1" x14ac:dyDescent="0.2">
      <c r="B60" t="s">
        <v>161</v>
      </c>
      <c r="C60" s="12">
        <v>19</v>
      </c>
      <c r="D60" s="8">
        <v>1.86</v>
      </c>
      <c r="E60" s="12">
        <v>4</v>
      </c>
      <c r="F60" s="8">
        <v>0.89</v>
      </c>
      <c r="G60" s="12">
        <v>15</v>
      </c>
      <c r="H60" s="8">
        <v>2.65</v>
      </c>
      <c r="I60" s="12">
        <v>0</v>
      </c>
    </row>
    <row r="61" spans="2:9" ht="15" customHeight="1" x14ac:dyDescent="0.2">
      <c r="B61" t="s">
        <v>162</v>
      </c>
      <c r="C61" s="12">
        <v>19</v>
      </c>
      <c r="D61" s="8">
        <v>1.86</v>
      </c>
      <c r="E61" s="12">
        <v>8</v>
      </c>
      <c r="F61" s="8">
        <v>1.79</v>
      </c>
      <c r="G61" s="12">
        <v>11</v>
      </c>
      <c r="H61" s="8">
        <v>1.94</v>
      </c>
      <c r="I61" s="12">
        <v>0</v>
      </c>
    </row>
    <row r="62" spans="2:9" ht="15" customHeight="1" x14ac:dyDescent="0.2">
      <c r="B62" t="s">
        <v>169</v>
      </c>
      <c r="C62" s="12">
        <v>19</v>
      </c>
      <c r="D62" s="8">
        <v>1.86</v>
      </c>
      <c r="E62" s="12">
        <v>14</v>
      </c>
      <c r="F62" s="8">
        <v>3.13</v>
      </c>
      <c r="G62" s="12">
        <v>5</v>
      </c>
      <c r="H62" s="8">
        <v>0.88</v>
      </c>
      <c r="I62" s="12">
        <v>0</v>
      </c>
    </row>
    <row r="63" spans="2:9" ht="15" customHeight="1" x14ac:dyDescent="0.2">
      <c r="B63" t="s">
        <v>175</v>
      </c>
      <c r="C63" s="12">
        <v>19</v>
      </c>
      <c r="D63" s="8">
        <v>1.86</v>
      </c>
      <c r="E63" s="12">
        <v>16</v>
      </c>
      <c r="F63" s="8">
        <v>3.58</v>
      </c>
      <c r="G63" s="12">
        <v>3</v>
      </c>
      <c r="H63" s="8">
        <v>0.53</v>
      </c>
      <c r="I63" s="12">
        <v>0</v>
      </c>
    </row>
    <row r="64" spans="2:9" ht="15" customHeight="1" x14ac:dyDescent="0.2">
      <c r="B64" t="s">
        <v>200</v>
      </c>
      <c r="C64" s="12">
        <v>18</v>
      </c>
      <c r="D64" s="8">
        <v>1.77</v>
      </c>
      <c r="E64" s="12">
        <v>4</v>
      </c>
      <c r="F64" s="8">
        <v>0.89</v>
      </c>
      <c r="G64" s="12">
        <v>14</v>
      </c>
      <c r="H64" s="8">
        <v>2.4700000000000002</v>
      </c>
      <c r="I64" s="12">
        <v>0</v>
      </c>
    </row>
    <row r="65" spans="2:9" ht="15" customHeight="1" x14ac:dyDescent="0.2">
      <c r="B65" t="s">
        <v>181</v>
      </c>
      <c r="C65" s="12">
        <v>17</v>
      </c>
      <c r="D65" s="8">
        <v>1.67</v>
      </c>
      <c r="E65" s="12">
        <v>7</v>
      </c>
      <c r="F65" s="8">
        <v>1.57</v>
      </c>
      <c r="G65" s="12">
        <v>10</v>
      </c>
      <c r="H65" s="8">
        <v>1.76</v>
      </c>
      <c r="I65" s="12">
        <v>0</v>
      </c>
    </row>
    <row r="66" spans="2:9" ht="15" customHeight="1" x14ac:dyDescent="0.2">
      <c r="B66" t="s">
        <v>177</v>
      </c>
      <c r="C66" s="12">
        <v>14</v>
      </c>
      <c r="D66" s="8">
        <v>1.37</v>
      </c>
      <c r="E66" s="12">
        <v>3</v>
      </c>
      <c r="F66" s="8">
        <v>0.67</v>
      </c>
      <c r="G66" s="12">
        <v>11</v>
      </c>
      <c r="H66" s="8">
        <v>1.94</v>
      </c>
      <c r="I66" s="12">
        <v>0</v>
      </c>
    </row>
    <row r="67" spans="2:9" ht="15" customHeight="1" x14ac:dyDescent="0.2">
      <c r="B67" t="s">
        <v>164</v>
      </c>
      <c r="C67" s="12">
        <v>14</v>
      </c>
      <c r="D67" s="8">
        <v>1.37</v>
      </c>
      <c r="E67" s="12">
        <v>10</v>
      </c>
      <c r="F67" s="8">
        <v>2.2400000000000002</v>
      </c>
      <c r="G67" s="12">
        <v>4</v>
      </c>
      <c r="H67" s="8">
        <v>0.71</v>
      </c>
      <c r="I67" s="12">
        <v>0</v>
      </c>
    </row>
    <row r="68" spans="2:9" ht="15" customHeight="1" x14ac:dyDescent="0.2">
      <c r="B68" t="s">
        <v>214</v>
      </c>
      <c r="C68" s="12">
        <v>13</v>
      </c>
      <c r="D68" s="8">
        <v>1.28</v>
      </c>
      <c r="E68" s="12">
        <v>1</v>
      </c>
      <c r="F68" s="8">
        <v>0.22</v>
      </c>
      <c r="G68" s="12">
        <v>12</v>
      </c>
      <c r="H68" s="8">
        <v>2.12</v>
      </c>
      <c r="I68" s="12">
        <v>0</v>
      </c>
    </row>
    <row r="69" spans="2:9" ht="15" customHeight="1" x14ac:dyDescent="0.2">
      <c r="B69" t="s">
        <v>217</v>
      </c>
      <c r="C69" s="12">
        <v>13</v>
      </c>
      <c r="D69" s="8">
        <v>1.28</v>
      </c>
      <c r="E69" s="12">
        <v>1</v>
      </c>
      <c r="F69" s="8">
        <v>0.22</v>
      </c>
      <c r="G69" s="12">
        <v>12</v>
      </c>
      <c r="H69" s="8">
        <v>2.12</v>
      </c>
      <c r="I69" s="12">
        <v>0</v>
      </c>
    </row>
    <row r="70" spans="2:9" ht="15" customHeight="1" x14ac:dyDescent="0.2">
      <c r="B70" t="s">
        <v>218</v>
      </c>
      <c r="C70" s="12">
        <v>13</v>
      </c>
      <c r="D70" s="8">
        <v>1.28</v>
      </c>
      <c r="E70" s="12">
        <v>2</v>
      </c>
      <c r="F70" s="8">
        <v>0.45</v>
      </c>
      <c r="G70" s="12">
        <v>11</v>
      </c>
      <c r="H70" s="8">
        <v>1.94</v>
      </c>
      <c r="I70" s="12">
        <v>0</v>
      </c>
    </row>
    <row r="71" spans="2:9" ht="15" customHeight="1" x14ac:dyDescent="0.2">
      <c r="B71" t="s">
        <v>167</v>
      </c>
      <c r="C71" s="12">
        <v>13</v>
      </c>
      <c r="D71" s="8">
        <v>1.28</v>
      </c>
      <c r="E71" s="12">
        <v>1</v>
      </c>
      <c r="F71" s="8">
        <v>0.22</v>
      </c>
      <c r="G71" s="12">
        <v>12</v>
      </c>
      <c r="H71" s="8">
        <v>2.12</v>
      </c>
      <c r="I71" s="12">
        <v>0</v>
      </c>
    </row>
    <row r="72" spans="2:9" ht="15" customHeight="1" x14ac:dyDescent="0.2">
      <c r="B72" t="s">
        <v>205</v>
      </c>
      <c r="C72" s="12">
        <v>13</v>
      </c>
      <c r="D72" s="8">
        <v>1.28</v>
      </c>
      <c r="E72" s="12">
        <v>8</v>
      </c>
      <c r="F72" s="8">
        <v>1.79</v>
      </c>
      <c r="G72" s="12">
        <v>5</v>
      </c>
      <c r="H72" s="8">
        <v>0.88</v>
      </c>
      <c r="I72" s="12">
        <v>0</v>
      </c>
    </row>
    <row r="74" spans="2:9" ht="15" customHeight="1" x14ac:dyDescent="0.2">
      <c r="B74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DE867-3793-4A61-B7CB-30B0B5A61691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320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210</v>
      </c>
      <c r="D6" s="8">
        <v>17.13</v>
      </c>
      <c r="E6" s="12">
        <v>44</v>
      </c>
      <c r="F6" s="8">
        <v>8.73</v>
      </c>
      <c r="G6" s="12">
        <v>166</v>
      </c>
      <c r="H6" s="8">
        <v>23.31</v>
      </c>
      <c r="I6" s="12">
        <v>0</v>
      </c>
    </row>
    <row r="7" spans="2:9" ht="15" customHeight="1" x14ac:dyDescent="0.2">
      <c r="B7" t="s">
        <v>76</v>
      </c>
      <c r="C7" s="12">
        <v>255</v>
      </c>
      <c r="D7" s="8">
        <v>20.8</v>
      </c>
      <c r="E7" s="12">
        <v>68</v>
      </c>
      <c r="F7" s="8">
        <v>13.49</v>
      </c>
      <c r="G7" s="12">
        <v>187</v>
      </c>
      <c r="H7" s="8">
        <v>26.26</v>
      </c>
      <c r="I7" s="12">
        <v>0</v>
      </c>
    </row>
    <row r="8" spans="2:9" ht="15" customHeight="1" x14ac:dyDescent="0.2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78</v>
      </c>
      <c r="C9" s="12">
        <v>11</v>
      </c>
      <c r="D9" s="8">
        <v>0.9</v>
      </c>
      <c r="E9" s="12">
        <v>0</v>
      </c>
      <c r="F9" s="8">
        <v>0</v>
      </c>
      <c r="G9" s="12">
        <v>11</v>
      </c>
      <c r="H9" s="8">
        <v>1.54</v>
      </c>
      <c r="I9" s="12">
        <v>0</v>
      </c>
    </row>
    <row r="10" spans="2:9" ht="15" customHeight="1" x14ac:dyDescent="0.2">
      <c r="B10" t="s">
        <v>79</v>
      </c>
      <c r="C10" s="12">
        <v>13</v>
      </c>
      <c r="D10" s="8">
        <v>1.06</v>
      </c>
      <c r="E10" s="12">
        <v>2</v>
      </c>
      <c r="F10" s="8">
        <v>0.4</v>
      </c>
      <c r="G10" s="12">
        <v>11</v>
      </c>
      <c r="H10" s="8">
        <v>1.54</v>
      </c>
      <c r="I10" s="12">
        <v>0</v>
      </c>
    </row>
    <row r="11" spans="2:9" ht="15" customHeight="1" x14ac:dyDescent="0.2">
      <c r="B11" t="s">
        <v>80</v>
      </c>
      <c r="C11" s="12">
        <v>200</v>
      </c>
      <c r="D11" s="8">
        <v>16.309999999999999</v>
      </c>
      <c r="E11" s="12">
        <v>84</v>
      </c>
      <c r="F11" s="8">
        <v>16.670000000000002</v>
      </c>
      <c r="G11" s="12">
        <v>115</v>
      </c>
      <c r="H11" s="8">
        <v>16.149999999999999</v>
      </c>
      <c r="I11" s="12">
        <v>1</v>
      </c>
    </row>
    <row r="12" spans="2:9" ht="15" customHeight="1" x14ac:dyDescent="0.2">
      <c r="B12" t="s">
        <v>81</v>
      </c>
      <c r="C12" s="12">
        <v>2</v>
      </c>
      <c r="D12" s="8">
        <v>0.16</v>
      </c>
      <c r="E12" s="12">
        <v>1</v>
      </c>
      <c r="F12" s="8">
        <v>0.2</v>
      </c>
      <c r="G12" s="12">
        <v>1</v>
      </c>
      <c r="H12" s="8">
        <v>0.14000000000000001</v>
      </c>
      <c r="I12" s="12">
        <v>0</v>
      </c>
    </row>
    <row r="13" spans="2:9" ht="15" customHeight="1" x14ac:dyDescent="0.2">
      <c r="B13" t="s">
        <v>82</v>
      </c>
      <c r="C13" s="12">
        <v>100</v>
      </c>
      <c r="D13" s="8">
        <v>8.16</v>
      </c>
      <c r="E13" s="12">
        <v>27</v>
      </c>
      <c r="F13" s="8">
        <v>5.36</v>
      </c>
      <c r="G13" s="12">
        <v>73</v>
      </c>
      <c r="H13" s="8">
        <v>10.25</v>
      </c>
      <c r="I13" s="12">
        <v>0</v>
      </c>
    </row>
    <row r="14" spans="2:9" ht="15" customHeight="1" x14ac:dyDescent="0.2">
      <c r="B14" t="s">
        <v>83</v>
      </c>
      <c r="C14" s="12">
        <v>47</v>
      </c>
      <c r="D14" s="8">
        <v>3.83</v>
      </c>
      <c r="E14" s="12">
        <v>20</v>
      </c>
      <c r="F14" s="8">
        <v>3.97</v>
      </c>
      <c r="G14" s="12">
        <v>27</v>
      </c>
      <c r="H14" s="8">
        <v>3.79</v>
      </c>
      <c r="I14" s="12">
        <v>0</v>
      </c>
    </row>
    <row r="15" spans="2:9" ht="15" customHeight="1" x14ac:dyDescent="0.2">
      <c r="B15" t="s">
        <v>84</v>
      </c>
      <c r="C15" s="12">
        <v>85</v>
      </c>
      <c r="D15" s="8">
        <v>6.93</v>
      </c>
      <c r="E15" s="12">
        <v>70</v>
      </c>
      <c r="F15" s="8">
        <v>13.89</v>
      </c>
      <c r="G15" s="12">
        <v>14</v>
      </c>
      <c r="H15" s="8">
        <v>1.97</v>
      </c>
      <c r="I15" s="12">
        <v>0</v>
      </c>
    </row>
    <row r="16" spans="2:9" ht="15" customHeight="1" x14ac:dyDescent="0.2">
      <c r="B16" t="s">
        <v>85</v>
      </c>
      <c r="C16" s="12">
        <v>148</v>
      </c>
      <c r="D16" s="8">
        <v>12.07</v>
      </c>
      <c r="E16" s="12">
        <v>111</v>
      </c>
      <c r="F16" s="8">
        <v>22.02</v>
      </c>
      <c r="G16" s="12">
        <v>37</v>
      </c>
      <c r="H16" s="8">
        <v>5.2</v>
      </c>
      <c r="I16" s="12">
        <v>0</v>
      </c>
    </row>
    <row r="17" spans="2:9" ht="15" customHeight="1" x14ac:dyDescent="0.2">
      <c r="B17" t="s">
        <v>86</v>
      </c>
      <c r="C17" s="12">
        <v>41</v>
      </c>
      <c r="D17" s="8">
        <v>3.34</v>
      </c>
      <c r="E17" s="12">
        <v>20</v>
      </c>
      <c r="F17" s="8">
        <v>3.97</v>
      </c>
      <c r="G17" s="12">
        <v>18</v>
      </c>
      <c r="H17" s="8">
        <v>2.5299999999999998</v>
      </c>
      <c r="I17" s="12">
        <v>0</v>
      </c>
    </row>
    <row r="18" spans="2:9" ht="15" customHeight="1" x14ac:dyDescent="0.2">
      <c r="B18" t="s">
        <v>87</v>
      </c>
      <c r="C18" s="12">
        <v>53</v>
      </c>
      <c r="D18" s="8">
        <v>4.32</v>
      </c>
      <c r="E18" s="12">
        <v>37</v>
      </c>
      <c r="F18" s="8">
        <v>7.34</v>
      </c>
      <c r="G18" s="12">
        <v>13</v>
      </c>
      <c r="H18" s="8">
        <v>1.83</v>
      </c>
      <c r="I18" s="12">
        <v>0</v>
      </c>
    </row>
    <row r="19" spans="2:9" ht="15" customHeight="1" x14ac:dyDescent="0.2">
      <c r="B19" t="s">
        <v>88</v>
      </c>
      <c r="C19" s="12">
        <v>61</v>
      </c>
      <c r="D19" s="8">
        <v>4.9800000000000004</v>
      </c>
      <c r="E19" s="12">
        <v>20</v>
      </c>
      <c r="F19" s="8">
        <v>3.97</v>
      </c>
      <c r="G19" s="12">
        <v>39</v>
      </c>
      <c r="H19" s="8">
        <v>5.48</v>
      </c>
      <c r="I19" s="12">
        <v>1</v>
      </c>
    </row>
    <row r="20" spans="2:9" ht="15" customHeight="1" x14ac:dyDescent="0.2">
      <c r="B20" s="9" t="s">
        <v>269</v>
      </c>
      <c r="C20" s="12">
        <f>SUM(LTBL_11243[総数／事業所数])</f>
        <v>1226</v>
      </c>
      <c r="E20" s="12">
        <f>SUBTOTAL(109,LTBL_11243[個人／事業所数])</f>
        <v>504</v>
      </c>
      <c r="G20" s="12">
        <f>SUBTOTAL(109,LTBL_11243[法人／事業所数])</f>
        <v>712</v>
      </c>
      <c r="I20" s="12">
        <f>SUBTOTAL(109,LTBL_11243[法人以外の団体／事業所数])</f>
        <v>2</v>
      </c>
    </row>
    <row r="21" spans="2:9" ht="15" customHeight="1" x14ac:dyDescent="0.2">
      <c r="E21" s="11">
        <f>LTBL_11243[[#Totals],[個人／事業所数]]/LTBL_11243[[#Totals],[総数／事業所数]]</f>
        <v>0.41109298531810767</v>
      </c>
      <c r="G21" s="11">
        <f>LTBL_11243[[#Totals],[法人／事業所数]]/LTBL_11243[[#Totals],[総数／事業所数]]</f>
        <v>0.5807504078303426</v>
      </c>
      <c r="I21" s="11">
        <f>LTBL_11243[[#Totals],[法人以外の団体／事業所数]]/LTBL_11243[[#Totals],[総数／事業所数]]</f>
        <v>1.6313213703099511E-3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116</v>
      </c>
      <c r="D24" s="8">
        <v>9.4600000000000009</v>
      </c>
      <c r="E24" s="12">
        <v>94</v>
      </c>
      <c r="F24" s="8">
        <v>18.649999999999999</v>
      </c>
      <c r="G24" s="12">
        <v>22</v>
      </c>
      <c r="H24" s="8">
        <v>3.09</v>
      </c>
      <c r="I24" s="12">
        <v>0</v>
      </c>
    </row>
    <row r="25" spans="2:9" ht="15" customHeight="1" x14ac:dyDescent="0.2">
      <c r="B25" t="s">
        <v>98</v>
      </c>
      <c r="C25" s="12">
        <v>79</v>
      </c>
      <c r="D25" s="8">
        <v>6.44</v>
      </c>
      <c r="E25" s="12">
        <v>21</v>
      </c>
      <c r="F25" s="8">
        <v>4.17</v>
      </c>
      <c r="G25" s="12">
        <v>58</v>
      </c>
      <c r="H25" s="8">
        <v>8.15</v>
      </c>
      <c r="I25" s="12">
        <v>0</v>
      </c>
    </row>
    <row r="26" spans="2:9" ht="15" customHeight="1" x14ac:dyDescent="0.2">
      <c r="B26" t="s">
        <v>108</v>
      </c>
      <c r="C26" s="12">
        <v>79</v>
      </c>
      <c r="D26" s="8">
        <v>6.44</v>
      </c>
      <c r="E26" s="12">
        <v>26</v>
      </c>
      <c r="F26" s="8">
        <v>5.16</v>
      </c>
      <c r="G26" s="12">
        <v>53</v>
      </c>
      <c r="H26" s="8">
        <v>7.44</v>
      </c>
      <c r="I26" s="12">
        <v>0</v>
      </c>
    </row>
    <row r="27" spans="2:9" ht="15" customHeight="1" x14ac:dyDescent="0.2">
      <c r="B27" t="s">
        <v>111</v>
      </c>
      <c r="C27" s="12">
        <v>79</v>
      </c>
      <c r="D27" s="8">
        <v>6.44</v>
      </c>
      <c r="E27" s="12">
        <v>69</v>
      </c>
      <c r="F27" s="8">
        <v>13.69</v>
      </c>
      <c r="G27" s="12">
        <v>10</v>
      </c>
      <c r="H27" s="8">
        <v>1.4</v>
      </c>
      <c r="I27" s="12">
        <v>0</v>
      </c>
    </row>
    <row r="28" spans="2:9" ht="15" customHeight="1" x14ac:dyDescent="0.2">
      <c r="B28" t="s">
        <v>97</v>
      </c>
      <c r="C28" s="12">
        <v>76</v>
      </c>
      <c r="D28" s="8">
        <v>6.2</v>
      </c>
      <c r="E28" s="12">
        <v>15</v>
      </c>
      <c r="F28" s="8">
        <v>2.98</v>
      </c>
      <c r="G28" s="12">
        <v>61</v>
      </c>
      <c r="H28" s="8">
        <v>8.57</v>
      </c>
      <c r="I28" s="12">
        <v>0</v>
      </c>
    </row>
    <row r="29" spans="2:9" ht="15" customHeight="1" x14ac:dyDescent="0.2">
      <c r="B29" t="s">
        <v>100</v>
      </c>
      <c r="C29" s="12">
        <v>66</v>
      </c>
      <c r="D29" s="8">
        <v>5.38</v>
      </c>
      <c r="E29" s="12">
        <v>22</v>
      </c>
      <c r="F29" s="8">
        <v>4.37</v>
      </c>
      <c r="G29" s="12">
        <v>44</v>
      </c>
      <c r="H29" s="8">
        <v>6.18</v>
      </c>
      <c r="I29" s="12">
        <v>0</v>
      </c>
    </row>
    <row r="30" spans="2:9" ht="15" customHeight="1" x14ac:dyDescent="0.2">
      <c r="B30" t="s">
        <v>99</v>
      </c>
      <c r="C30" s="12">
        <v>55</v>
      </c>
      <c r="D30" s="8">
        <v>4.49</v>
      </c>
      <c r="E30" s="12">
        <v>8</v>
      </c>
      <c r="F30" s="8">
        <v>1.59</v>
      </c>
      <c r="G30" s="12">
        <v>47</v>
      </c>
      <c r="H30" s="8">
        <v>6.6</v>
      </c>
      <c r="I30" s="12">
        <v>0</v>
      </c>
    </row>
    <row r="31" spans="2:9" ht="15" customHeight="1" x14ac:dyDescent="0.2">
      <c r="B31" t="s">
        <v>106</v>
      </c>
      <c r="C31" s="12">
        <v>45</v>
      </c>
      <c r="D31" s="8">
        <v>3.67</v>
      </c>
      <c r="E31" s="12">
        <v>18</v>
      </c>
      <c r="F31" s="8">
        <v>3.57</v>
      </c>
      <c r="G31" s="12">
        <v>27</v>
      </c>
      <c r="H31" s="8">
        <v>3.79</v>
      </c>
      <c r="I31" s="12">
        <v>0</v>
      </c>
    </row>
    <row r="32" spans="2:9" ht="15" customHeight="1" x14ac:dyDescent="0.2">
      <c r="B32" t="s">
        <v>114</v>
      </c>
      <c r="C32" s="12">
        <v>41</v>
      </c>
      <c r="D32" s="8">
        <v>3.34</v>
      </c>
      <c r="E32" s="12">
        <v>20</v>
      </c>
      <c r="F32" s="8">
        <v>3.97</v>
      </c>
      <c r="G32" s="12">
        <v>18</v>
      </c>
      <c r="H32" s="8">
        <v>2.5299999999999998</v>
      </c>
      <c r="I32" s="12">
        <v>0</v>
      </c>
    </row>
    <row r="33" spans="2:9" ht="15" customHeight="1" x14ac:dyDescent="0.2">
      <c r="B33" t="s">
        <v>115</v>
      </c>
      <c r="C33" s="12">
        <v>41</v>
      </c>
      <c r="D33" s="8">
        <v>3.34</v>
      </c>
      <c r="E33" s="12">
        <v>36</v>
      </c>
      <c r="F33" s="8">
        <v>7.14</v>
      </c>
      <c r="G33" s="12">
        <v>5</v>
      </c>
      <c r="H33" s="8">
        <v>0.7</v>
      </c>
      <c r="I33" s="12">
        <v>0</v>
      </c>
    </row>
    <row r="34" spans="2:9" ht="15" customHeight="1" x14ac:dyDescent="0.2">
      <c r="B34" t="s">
        <v>105</v>
      </c>
      <c r="C34" s="12">
        <v>37</v>
      </c>
      <c r="D34" s="8">
        <v>3.02</v>
      </c>
      <c r="E34" s="12">
        <v>18</v>
      </c>
      <c r="F34" s="8">
        <v>3.57</v>
      </c>
      <c r="G34" s="12">
        <v>19</v>
      </c>
      <c r="H34" s="8">
        <v>2.67</v>
      </c>
      <c r="I34" s="12">
        <v>0</v>
      </c>
    </row>
    <row r="35" spans="2:9" ht="15" customHeight="1" x14ac:dyDescent="0.2">
      <c r="B35" t="s">
        <v>104</v>
      </c>
      <c r="C35" s="12">
        <v>36</v>
      </c>
      <c r="D35" s="8">
        <v>2.94</v>
      </c>
      <c r="E35" s="12">
        <v>31</v>
      </c>
      <c r="F35" s="8">
        <v>6.15</v>
      </c>
      <c r="G35" s="12">
        <v>4</v>
      </c>
      <c r="H35" s="8">
        <v>0.56000000000000005</v>
      </c>
      <c r="I35" s="12">
        <v>1</v>
      </c>
    </row>
    <row r="36" spans="2:9" ht="15" customHeight="1" x14ac:dyDescent="0.2">
      <c r="B36" t="s">
        <v>120</v>
      </c>
      <c r="C36" s="12">
        <v>34</v>
      </c>
      <c r="D36" s="8">
        <v>2.77</v>
      </c>
      <c r="E36" s="12">
        <v>7</v>
      </c>
      <c r="F36" s="8">
        <v>1.39</v>
      </c>
      <c r="G36" s="12">
        <v>27</v>
      </c>
      <c r="H36" s="8">
        <v>3.79</v>
      </c>
      <c r="I36" s="12">
        <v>0</v>
      </c>
    </row>
    <row r="37" spans="2:9" ht="15" customHeight="1" x14ac:dyDescent="0.2">
      <c r="B37" t="s">
        <v>109</v>
      </c>
      <c r="C37" s="12">
        <v>30</v>
      </c>
      <c r="D37" s="8">
        <v>2.4500000000000002</v>
      </c>
      <c r="E37" s="12">
        <v>15</v>
      </c>
      <c r="F37" s="8">
        <v>2.98</v>
      </c>
      <c r="G37" s="12">
        <v>15</v>
      </c>
      <c r="H37" s="8">
        <v>2.11</v>
      </c>
      <c r="I37" s="12">
        <v>0</v>
      </c>
    </row>
    <row r="38" spans="2:9" ht="15" customHeight="1" x14ac:dyDescent="0.2">
      <c r="B38" t="s">
        <v>113</v>
      </c>
      <c r="C38" s="12">
        <v>24</v>
      </c>
      <c r="D38" s="8">
        <v>1.96</v>
      </c>
      <c r="E38" s="12">
        <v>12</v>
      </c>
      <c r="F38" s="8">
        <v>2.38</v>
      </c>
      <c r="G38" s="12">
        <v>12</v>
      </c>
      <c r="H38" s="8">
        <v>1.69</v>
      </c>
      <c r="I38" s="12">
        <v>0</v>
      </c>
    </row>
    <row r="39" spans="2:9" ht="15" customHeight="1" x14ac:dyDescent="0.2">
      <c r="B39" t="s">
        <v>101</v>
      </c>
      <c r="C39" s="12">
        <v>22</v>
      </c>
      <c r="D39" s="8">
        <v>1.79</v>
      </c>
      <c r="E39" s="12">
        <v>4</v>
      </c>
      <c r="F39" s="8">
        <v>0.79</v>
      </c>
      <c r="G39" s="12">
        <v>18</v>
      </c>
      <c r="H39" s="8">
        <v>2.5299999999999998</v>
      </c>
      <c r="I39" s="12">
        <v>0</v>
      </c>
    </row>
    <row r="40" spans="2:9" ht="15" customHeight="1" x14ac:dyDescent="0.2">
      <c r="B40" t="s">
        <v>116</v>
      </c>
      <c r="C40" s="12">
        <v>22</v>
      </c>
      <c r="D40" s="8">
        <v>1.79</v>
      </c>
      <c r="E40" s="12">
        <v>15</v>
      </c>
      <c r="F40" s="8">
        <v>2.98</v>
      </c>
      <c r="G40" s="12">
        <v>7</v>
      </c>
      <c r="H40" s="8">
        <v>0.98</v>
      </c>
      <c r="I40" s="12">
        <v>0</v>
      </c>
    </row>
    <row r="41" spans="2:9" ht="15" customHeight="1" x14ac:dyDescent="0.2">
      <c r="B41" t="s">
        <v>132</v>
      </c>
      <c r="C41" s="12">
        <v>19</v>
      </c>
      <c r="D41" s="8">
        <v>1.55</v>
      </c>
      <c r="E41" s="12">
        <v>8</v>
      </c>
      <c r="F41" s="8">
        <v>1.59</v>
      </c>
      <c r="G41" s="12">
        <v>11</v>
      </c>
      <c r="H41" s="8">
        <v>1.54</v>
      </c>
      <c r="I41" s="12">
        <v>0</v>
      </c>
    </row>
    <row r="42" spans="2:9" ht="15" customHeight="1" x14ac:dyDescent="0.2">
      <c r="B42" t="s">
        <v>119</v>
      </c>
      <c r="C42" s="12">
        <v>19</v>
      </c>
      <c r="D42" s="8">
        <v>1.55</v>
      </c>
      <c r="E42" s="12">
        <v>2</v>
      </c>
      <c r="F42" s="8">
        <v>0.4</v>
      </c>
      <c r="G42" s="12">
        <v>16</v>
      </c>
      <c r="H42" s="8">
        <v>2.25</v>
      </c>
      <c r="I42" s="12">
        <v>1</v>
      </c>
    </row>
    <row r="43" spans="2:9" ht="15" customHeight="1" x14ac:dyDescent="0.2">
      <c r="B43" t="s">
        <v>130</v>
      </c>
      <c r="C43" s="12">
        <v>18</v>
      </c>
      <c r="D43" s="8">
        <v>1.47</v>
      </c>
      <c r="E43" s="12">
        <v>5</v>
      </c>
      <c r="F43" s="8">
        <v>0.99</v>
      </c>
      <c r="G43" s="12">
        <v>13</v>
      </c>
      <c r="H43" s="8">
        <v>1.83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173</v>
      </c>
      <c r="C47" s="12">
        <v>56</v>
      </c>
      <c r="D47" s="8">
        <v>4.57</v>
      </c>
      <c r="E47" s="12">
        <v>48</v>
      </c>
      <c r="F47" s="8">
        <v>9.52</v>
      </c>
      <c r="G47" s="12">
        <v>8</v>
      </c>
      <c r="H47" s="8">
        <v>1.1200000000000001</v>
      </c>
      <c r="I47" s="12">
        <v>0</v>
      </c>
    </row>
    <row r="48" spans="2:9" ht="15" customHeight="1" x14ac:dyDescent="0.2">
      <c r="B48" t="s">
        <v>172</v>
      </c>
      <c r="C48" s="12">
        <v>40</v>
      </c>
      <c r="D48" s="8">
        <v>3.26</v>
      </c>
      <c r="E48" s="12">
        <v>38</v>
      </c>
      <c r="F48" s="8">
        <v>7.54</v>
      </c>
      <c r="G48" s="12">
        <v>2</v>
      </c>
      <c r="H48" s="8">
        <v>0.28000000000000003</v>
      </c>
      <c r="I48" s="12">
        <v>0</v>
      </c>
    </row>
    <row r="49" spans="2:9" ht="15" customHeight="1" x14ac:dyDescent="0.2">
      <c r="B49" t="s">
        <v>167</v>
      </c>
      <c r="C49" s="12">
        <v>39</v>
      </c>
      <c r="D49" s="8">
        <v>3.18</v>
      </c>
      <c r="E49" s="12">
        <v>17</v>
      </c>
      <c r="F49" s="8">
        <v>3.37</v>
      </c>
      <c r="G49" s="12">
        <v>22</v>
      </c>
      <c r="H49" s="8">
        <v>3.09</v>
      </c>
      <c r="I49" s="12">
        <v>0</v>
      </c>
    </row>
    <row r="50" spans="2:9" ht="15" customHeight="1" x14ac:dyDescent="0.2">
      <c r="B50" t="s">
        <v>160</v>
      </c>
      <c r="C50" s="12">
        <v>32</v>
      </c>
      <c r="D50" s="8">
        <v>2.61</v>
      </c>
      <c r="E50" s="12">
        <v>6</v>
      </c>
      <c r="F50" s="8">
        <v>1.19</v>
      </c>
      <c r="G50" s="12">
        <v>26</v>
      </c>
      <c r="H50" s="8">
        <v>3.65</v>
      </c>
      <c r="I50" s="12">
        <v>0</v>
      </c>
    </row>
    <row r="51" spans="2:9" ht="15" customHeight="1" x14ac:dyDescent="0.2">
      <c r="B51" t="s">
        <v>170</v>
      </c>
      <c r="C51" s="12">
        <v>31</v>
      </c>
      <c r="D51" s="8">
        <v>2.5299999999999998</v>
      </c>
      <c r="E51" s="12">
        <v>28</v>
      </c>
      <c r="F51" s="8">
        <v>5.56</v>
      </c>
      <c r="G51" s="12">
        <v>3</v>
      </c>
      <c r="H51" s="8">
        <v>0.42</v>
      </c>
      <c r="I51" s="12">
        <v>0</v>
      </c>
    </row>
    <row r="52" spans="2:9" ht="15" customHeight="1" x14ac:dyDescent="0.2">
      <c r="B52" t="s">
        <v>200</v>
      </c>
      <c r="C52" s="12">
        <v>30</v>
      </c>
      <c r="D52" s="8">
        <v>2.4500000000000002</v>
      </c>
      <c r="E52" s="12">
        <v>5</v>
      </c>
      <c r="F52" s="8">
        <v>0.99</v>
      </c>
      <c r="G52" s="12">
        <v>25</v>
      </c>
      <c r="H52" s="8">
        <v>3.51</v>
      </c>
      <c r="I52" s="12">
        <v>0</v>
      </c>
    </row>
    <row r="53" spans="2:9" ht="15" customHeight="1" x14ac:dyDescent="0.2">
      <c r="B53" t="s">
        <v>158</v>
      </c>
      <c r="C53" s="12">
        <v>27</v>
      </c>
      <c r="D53" s="8">
        <v>2.2000000000000002</v>
      </c>
      <c r="E53" s="12">
        <v>4</v>
      </c>
      <c r="F53" s="8">
        <v>0.79</v>
      </c>
      <c r="G53" s="12">
        <v>23</v>
      </c>
      <c r="H53" s="8">
        <v>3.23</v>
      </c>
      <c r="I53" s="12">
        <v>0</v>
      </c>
    </row>
    <row r="54" spans="2:9" ht="15" customHeight="1" x14ac:dyDescent="0.2">
      <c r="B54" t="s">
        <v>169</v>
      </c>
      <c r="C54" s="12">
        <v>24</v>
      </c>
      <c r="D54" s="8">
        <v>1.96</v>
      </c>
      <c r="E54" s="12">
        <v>20</v>
      </c>
      <c r="F54" s="8">
        <v>3.97</v>
      </c>
      <c r="G54" s="12">
        <v>4</v>
      </c>
      <c r="H54" s="8">
        <v>0.56000000000000005</v>
      </c>
      <c r="I54" s="12">
        <v>0</v>
      </c>
    </row>
    <row r="55" spans="2:9" ht="15" customHeight="1" x14ac:dyDescent="0.2">
      <c r="B55" t="s">
        <v>214</v>
      </c>
      <c r="C55" s="12">
        <v>22</v>
      </c>
      <c r="D55" s="8">
        <v>1.79</v>
      </c>
      <c r="E55" s="12">
        <v>5</v>
      </c>
      <c r="F55" s="8">
        <v>0.99</v>
      </c>
      <c r="G55" s="12">
        <v>17</v>
      </c>
      <c r="H55" s="8">
        <v>2.39</v>
      </c>
      <c r="I55" s="12">
        <v>0</v>
      </c>
    </row>
    <row r="56" spans="2:9" ht="15" customHeight="1" x14ac:dyDescent="0.2">
      <c r="B56" t="s">
        <v>174</v>
      </c>
      <c r="C56" s="12">
        <v>22</v>
      </c>
      <c r="D56" s="8">
        <v>1.79</v>
      </c>
      <c r="E56" s="12">
        <v>16</v>
      </c>
      <c r="F56" s="8">
        <v>3.17</v>
      </c>
      <c r="G56" s="12">
        <v>6</v>
      </c>
      <c r="H56" s="8">
        <v>0.84</v>
      </c>
      <c r="I56" s="12">
        <v>0</v>
      </c>
    </row>
    <row r="57" spans="2:9" ht="15" customHeight="1" x14ac:dyDescent="0.2">
      <c r="B57" t="s">
        <v>175</v>
      </c>
      <c r="C57" s="12">
        <v>22</v>
      </c>
      <c r="D57" s="8">
        <v>1.79</v>
      </c>
      <c r="E57" s="12">
        <v>21</v>
      </c>
      <c r="F57" s="8">
        <v>4.17</v>
      </c>
      <c r="G57" s="12">
        <v>1</v>
      </c>
      <c r="H57" s="8">
        <v>0.14000000000000001</v>
      </c>
      <c r="I57" s="12">
        <v>0</v>
      </c>
    </row>
    <row r="58" spans="2:9" ht="15" customHeight="1" x14ac:dyDescent="0.2">
      <c r="B58" t="s">
        <v>176</v>
      </c>
      <c r="C58" s="12">
        <v>22</v>
      </c>
      <c r="D58" s="8">
        <v>1.79</v>
      </c>
      <c r="E58" s="12">
        <v>15</v>
      </c>
      <c r="F58" s="8">
        <v>2.98</v>
      </c>
      <c r="G58" s="12">
        <v>7</v>
      </c>
      <c r="H58" s="8">
        <v>0.98</v>
      </c>
      <c r="I58" s="12">
        <v>0</v>
      </c>
    </row>
    <row r="59" spans="2:9" ht="15" customHeight="1" x14ac:dyDescent="0.2">
      <c r="B59" t="s">
        <v>162</v>
      </c>
      <c r="C59" s="12">
        <v>21</v>
      </c>
      <c r="D59" s="8">
        <v>1.71</v>
      </c>
      <c r="E59" s="12">
        <v>17</v>
      </c>
      <c r="F59" s="8">
        <v>3.37</v>
      </c>
      <c r="G59" s="12">
        <v>3</v>
      </c>
      <c r="H59" s="8">
        <v>0.42</v>
      </c>
      <c r="I59" s="12">
        <v>1</v>
      </c>
    </row>
    <row r="60" spans="2:9" ht="15" customHeight="1" x14ac:dyDescent="0.2">
      <c r="B60" t="s">
        <v>163</v>
      </c>
      <c r="C60" s="12">
        <v>21</v>
      </c>
      <c r="D60" s="8">
        <v>1.71</v>
      </c>
      <c r="E60" s="12">
        <v>11</v>
      </c>
      <c r="F60" s="8">
        <v>2.1800000000000002</v>
      </c>
      <c r="G60" s="12">
        <v>10</v>
      </c>
      <c r="H60" s="8">
        <v>1.4</v>
      </c>
      <c r="I60" s="12">
        <v>0</v>
      </c>
    </row>
    <row r="61" spans="2:9" ht="15" customHeight="1" x14ac:dyDescent="0.2">
      <c r="B61" t="s">
        <v>166</v>
      </c>
      <c r="C61" s="12">
        <v>18</v>
      </c>
      <c r="D61" s="8">
        <v>1.47</v>
      </c>
      <c r="E61" s="12">
        <v>2</v>
      </c>
      <c r="F61" s="8">
        <v>0.4</v>
      </c>
      <c r="G61" s="12">
        <v>16</v>
      </c>
      <c r="H61" s="8">
        <v>2.25</v>
      </c>
      <c r="I61" s="12">
        <v>0</v>
      </c>
    </row>
    <row r="62" spans="2:9" ht="15" customHeight="1" x14ac:dyDescent="0.2">
      <c r="B62" t="s">
        <v>159</v>
      </c>
      <c r="C62" s="12">
        <v>17</v>
      </c>
      <c r="D62" s="8">
        <v>1.39</v>
      </c>
      <c r="E62" s="12">
        <v>7</v>
      </c>
      <c r="F62" s="8">
        <v>1.39</v>
      </c>
      <c r="G62" s="12">
        <v>10</v>
      </c>
      <c r="H62" s="8">
        <v>1.4</v>
      </c>
      <c r="I62" s="12">
        <v>0</v>
      </c>
    </row>
    <row r="63" spans="2:9" ht="15" customHeight="1" x14ac:dyDescent="0.2">
      <c r="B63" t="s">
        <v>177</v>
      </c>
      <c r="C63" s="12">
        <v>17</v>
      </c>
      <c r="D63" s="8">
        <v>1.39</v>
      </c>
      <c r="E63" s="12">
        <v>3</v>
      </c>
      <c r="F63" s="8">
        <v>0.6</v>
      </c>
      <c r="G63" s="12">
        <v>14</v>
      </c>
      <c r="H63" s="8">
        <v>1.97</v>
      </c>
      <c r="I63" s="12">
        <v>0</v>
      </c>
    </row>
    <row r="64" spans="2:9" ht="15" customHeight="1" x14ac:dyDescent="0.2">
      <c r="B64" t="s">
        <v>161</v>
      </c>
      <c r="C64" s="12">
        <v>17</v>
      </c>
      <c r="D64" s="8">
        <v>1.39</v>
      </c>
      <c r="E64" s="12">
        <v>2</v>
      </c>
      <c r="F64" s="8">
        <v>0.4</v>
      </c>
      <c r="G64" s="12">
        <v>15</v>
      </c>
      <c r="H64" s="8">
        <v>2.11</v>
      </c>
      <c r="I64" s="12">
        <v>0</v>
      </c>
    </row>
    <row r="65" spans="2:9" ht="15" customHeight="1" x14ac:dyDescent="0.2">
      <c r="B65" t="s">
        <v>215</v>
      </c>
      <c r="C65" s="12">
        <v>17</v>
      </c>
      <c r="D65" s="8">
        <v>1.39</v>
      </c>
      <c r="E65" s="12">
        <v>6</v>
      </c>
      <c r="F65" s="8">
        <v>1.19</v>
      </c>
      <c r="G65" s="12">
        <v>11</v>
      </c>
      <c r="H65" s="8">
        <v>1.54</v>
      </c>
      <c r="I65" s="12">
        <v>0</v>
      </c>
    </row>
    <row r="66" spans="2:9" ht="15" customHeight="1" x14ac:dyDescent="0.2">
      <c r="B66" t="s">
        <v>197</v>
      </c>
      <c r="C66" s="12">
        <v>16</v>
      </c>
      <c r="D66" s="8">
        <v>1.31</v>
      </c>
      <c r="E66" s="12">
        <v>1</v>
      </c>
      <c r="F66" s="8">
        <v>0.2</v>
      </c>
      <c r="G66" s="12">
        <v>15</v>
      </c>
      <c r="H66" s="8">
        <v>2.11</v>
      </c>
      <c r="I66" s="12">
        <v>0</v>
      </c>
    </row>
    <row r="68" spans="2:9" ht="15" customHeight="1" x14ac:dyDescent="0.2">
      <c r="B68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C48AF-58D1-400B-B0E0-A0C953E2FE55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321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248</v>
      </c>
      <c r="D6" s="8">
        <v>14.85</v>
      </c>
      <c r="E6" s="12">
        <v>43</v>
      </c>
      <c r="F6" s="8">
        <v>5.67</v>
      </c>
      <c r="G6" s="12">
        <v>205</v>
      </c>
      <c r="H6" s="8">
        <v>22.6</v>
      </c>
      <c r="I6" s="12">
        <v>0</v>
      </c>
    </row>
    <row r="7" spans="2:9" ht="15" customHeight="1" x14ac:dyDescent="0.2">
      <c r="B7" t="s">
        <v>76</v>
      </c>
      <c r="C7" s="12">
        <v>148</v>
      </c>
      <c r="D7" s="8">
        <v>8.86</v>
      </c>
      <c r="E7" s="12">
        <v>46</v>
      </c>
      <c r="F7" s="8">
        <v>6.07</v>
      </c>
      <c r="G7" s="12">
        <v>102</v>
      </c>
      <c r="H7" s="8">
        <v>11.25</v>
      </c>
      <c r="I7" s="12">
        <v>0</v>
      </c>
    </row>
    <row r="8" spans="2:9" ht="15" customHeight="1" x14ac:dyDescent="0.2">
      <c r="B8" t="s">
        <v>77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0.11</v>
      </c>
      <c r="I8" s="12">
        <v>0</v>
      </c>
    </row>
    <row r="9" spans="2:9" ht="15" customHeight="1" x14ac:dyDescent="0.2">
      <c r="B9" t="s">
        <v>78</v>
      </c>
      <c r="C9" s="12">
        <v>19</v>
      </c>
      <c r="D9" s="8">
        <v>1.1399999999999999</v>
      </c>
      <c r="E9" s="12">
        <v>1</v>
      </c>
      <c r="F9" s="8">
        <v>0.13</v>
      </c>
      <c r="G9" s="12">
        <v>18</v>
      </c>
      <c r="H9" s="8">
        <v>1.98</v>
      </c>
      <c r="I9" s="12">
        <v>0</v>
      </c>
    </row>
    <row r="10" spans="2:9" ht="15" customHeight="1" x14ac:dyDescent="0.2">
      <c r="B10" t="s">
        <v>79</v>
      </c>
      <c r="C10" s="12">
        <v>11</v>
      </c>
      <c r="D10" s="8">
        <v>0.66</v>
      </c>
      <c r="E10" s="12">
        <v>0</v>
      </c>
      <c r="F10" s="8">
        <v>0</v>
      </c>
      <c r="G10" s="12">
        <v>11</v>
      </c>
      <c r="H10" s="8">
        <v>1.21</v>
      </c>
      <c r="I10" s="12">
        <v>0</v>
      </c>
    </row>
    <row r="11" spans="2:9" ht="15" customHeight="1" x14ac:dyDescent="0.2">
      <c r="B11" t="s">
        <v>80</v>
      </c>
      <c r="C11" s="12">
        <v>322</v>
      </c>
      <c r="D11" s="8">
        <v>19.28</v>
      </c>
      <c r="E11" s="12">
        <v>152</v>
      </c>
      <c r="F11" s="8">
        <v>20.05</v>
      </c>
      <c r="G11" s="12">
        <v>170</v>
      </c>
      <c r="H11" s="8">
        <v>18.739999999999998</v>
      </c>
      <c r="I11" s="12">
        <v>0</v>
      </c>
    </row>
    <row r="12" spans="2:9" ht="15" customHeight="1" x14ac:dyDescent="0.2">
      <c r="B12" t="s">
        <v>81</v>
      </c>
      <c r="C12" s="12">
        <v>12</v>
      </c>
      <c r="D12" s="8">
        <v>0.72</v>
      </c>
      <c r="E12" s="12">
        <v>2</v>
      </c>
      <c r="F12" s="8">
        <v>0.26</v>
      </c>
      <c r="G12" s="12">
        <v>10</v>
      </c>
      <c r="H12" s="8">
        <v>1.1000000000000001</v>
      </c>
      <c r="I12" s="12">
        <v>0</v>
      </c>
    </row>
    <row r="13" spans="2:9" ht="15" customHeight="1" x14ac:dyDescent="0.2">
      <c r="B13" t="s">
        <v>82</v>
      </c>
      <c r="C13" s="12">
        <v>180</v>
      </c>
      <c r="D13" s="8">
        <v>10.78</v>
      </c>
      <c r="E13" s="12">
        <v>22</v>
      </c>
      <c r="F13" s="8">
        <v>2.9</v>
      </c>
      <c r="G13" s="12">
        <v>158</v>
      </c>
      <c r="H13" s="8">
        <v>17.420000000000002</v>
      </c>
      <c r="I13" s="12">
        <v>0</v>
      </c>
    </row>
    <row r="14" spans="2:9" ht="15" customHeight="1" x14ac:dyDescent="0.2">
      <c r="B14" t="s">
        <v>83</v>
      </c>
      <c r="C14" s="12">
        <v>84</v>
      </c>
      <c r="D14" s="8">
        <v>5.03</v>
      </c>
      <c r="E14" s="12">
        <v>39</v>
      </c>
      <c r="F14" s="8">
        <v>5.15</v>
      </c>
      <c r="G14" s="12">
        <v>45</v>
      </c>
      <c r="H14" s="8">
        <v>4.96</v>
      </c>
      <c r="I14" s="12">
        <v>0</v>
      </c>
    </row>
    <row r="15" spans="2:9" ht="15" customHeight="1" x14ac:dyDescent="0.2">
      <c r="B15" t="s">
        <v>84</v>
      </c>
      <c r="C15" s="12">
        <v>183</v>
      </c>
      <c r="D15" s="8">
        <v>10.96</v>
      </c>
      <c r="E15" s="12">
        <v>153</v>
      </c>
      <c r="F15" s="8">
        <v>20.18</v>
      </c>
      <c r="G15" s="12">
        <v>29</v>
      </c>
      <c r="H15" s="8">
        <v>3.2</v>
      </c>
      <c r="I15" s="12">
        <v>0</v>
      </c>
    </row>
    <row r="16" spans="2:9" ht="15" customHeight="1" x14ac:dyDescent="0.2">
      <c r="B16" t="s">
        <v>85</v>
      </c>
      <c r="C16" s="12">
        <v>252</v>
      </c>
      <c r="D16" s="8">
        <v>15.09</v>
      </c>
      <c r="E16" s="12">
        <v>174</v>
      </c>
      <c r="F16" s="8">
        <v>22.96</v>
      </c>
      <c r="G16" s="12">
        <v>78</v>
      </c>
      <c r="H16" s="8">
        <v>8.6</v>
      </c>
      <c r="I16" s="12">
        <v>0</v>
      </c>
    </row>
    <row r="17" spans="2:9" ht="15" customHeight="1" x14ac:dyDescent="0.2">
      <c r="B17" t="s">
        <v>86</v>
      </c>
      <c r="C17" s="12">
        <v>85</v>
      </c>
      <c r="D17" s="8">
        <v>5.09</v>
      </c>
      <c r="E17" s="12">
        <v>67</v>
      </c>
      <c r="F17" s="8">
        <v>8.84</v>
      </c>
      <c r="G17" s="12">
        <v>18</v>
      </c>
      <c r="H17" s="8">
        <v>1.98</v>
      </c>
      <c r="I17" s="12">
        <v>0</v>
      </c>
    </row>
    <row r="18" spans="2:9" ht="15" customHeight="1" x14ac:dyDescent="0.2">
      <c r="B18" t="s">
        <v>87</v>
      </c>
      <c r="C18" s="12">
        <v>82</v>
      </c>
      <c r="D18" s="8">
        <v>4.91</v>
      </c>
      <c r="E18" s="12">
        <v>48</v>
      </c>
      <c r="F18" s="8">
        <v>6.33</v>
      </c>
      <c r="G18" s="12">
        <v>31</v>
      </c>
      <c r="H18" s="8">
        <v>3.42</v>
      </c>
      <c r="I18" s="12">
        <v>0</v>
      </c>
    </row>
    <row r="19" spans="2:9" ht="15" customHeight="1" x14ac:dyDescent="0.2">
      <c r="B19" t="s">
        <v>88</v>
      </c>
      <c r="C19" s="12">
        <v>43</v>
      </c>
      <c r="D19" s="8">
        <v>2.57</v>
      </c>
      <c r="E19" s="12">
        <v>11</v>
      </c>
      <c r="F19" s="8">
        <v>1.45</v>
      </c>
      <c r="G19" s="12">
        <v>31</v>
      </c>
      <c r="H19" s="8">
        <v>3.42</v>
      </c>
      <c r="I19" s="12">
        <v>0</v>
      </c>
    </row>
    <row r="20" spans="2:9" ht="15" customHeight="1" x14ac:dyDescent="0.2">
      <c r="B20" s="9" t="s">
        <v>269</v>
      </c>
      <c r="C20" s="12">
        <f>SUM(LTBL_11245[総数／事業所数])</f>
        <v>1670</v>
      </c>
      <c r="E20" s="12">
        <f>SUBTOTAL(109,LTBL_11245[個人／事業所数])</f>
        <v>758</v>
      </c>
      <c r="G20" s="12">
        <f>SUBTOTAL(109,LTBL_11245[法人／事業所数])</f>
        <v>907</v>
      </c>
      <c r="I20" s="12">
        <f>SUBTOTAL(109,LTBL_11245[法人以外の団体／事業所数])</f>
        <v>0</v>
      </c>
    </row>
    <row r="21" spans="2:9" ht="15" customHeight="1" x14ac:dyDescent="0.2">
      <c r="E21" s="11">
        <f>LTBL_11245[[#Totals],[個人／事業所数]]/LTBL_11245[[#Totals],[総数／事業所数]]</f>
        <v>0.45389221556886228</v>
      </c>
      <c r="G21" s="11">
        <f>LTBL_11245[[#Totals],[法人／事業所数]]/LTBL_11245[[#Totals],[総数／事業所数]]</f>
        <v>0.54311377245508985</v>
      </c>
      <c r="I21" s="11">
        <f>LTBL_11245[[#Totals],[法人以外の団体／事業所数]]/LTBL_11245[[#Totals],[総数／事業所数]]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200</v>
      </c>
      <c r="D24" s="8">
        <v>11.98</v>
      </c>
      <c r="E24" s="12">
        <v>153</v>
      </c>
      <c r="F24" s="8">
        <v>20.18</v>
      </c>
      <c r="G24" s="12">
        <v>47</v>
      </c>
      <c r="H24" s="8">
        <v>5.18</v>
      </c>
      <c r="I24" s="12">
        <v>0</v>
      </c>
    </row>
    <row r="25" spans="2:9" ht="15" customHeight="1" x14ac:dyDescent="0.2">
      <c r="B25" t="s">
        <v>111</v>
      </c>
      <c r="C25" s="12">
        <v>175</v>
      </c>
      <c r="D25" s="8">
        <v>10.48</v>
      </c>
      <c r="E25" s="12">
        <v>151</v>
      </c>
      <c r="F25" s="8">
        <v>19.920000000000002</v>
      </c>
      <c r="G25" s="12">
        <v>24</v>
      </c>
      <c r="H25" s="8">
        <v>2.65</v>
      </c>
      <c r="I25" s="12">
        <v>0</v>
      </c>
    </row>
    <row r="26" spans="2:9" ht="15" customHeight="1" x14ac:dyDescent="0.2">
      <c r="B26" t="s">
        <v>108</v>
      </c>
      <c r="C26" s="12">
        <v>136</v>
      </c>
      <c r="D26" s="8">
        <v>8.14</v>
      </c>
      <c r="E26" s="12">
        <v>19</v>
      </c>
      <c r="F26" s="8">
        <v>2.5099999999999998</v>
      </c>
      <c r="G26" s="12">
        <v>117</v>
      </c>
      <c r="H26" s="8">
        <v>12.9</v>
      </c>
      <c r="I26" s="12">
        <v>0</v>
      </c>
    </row>
    <row r="27" spans="2:9" ht="15" customHeight="1" x14ac:dyDescent="0.2">
      <c r="B27" t="s">
        <v>106</v>
      </c>
      <c r="C27" s="12">
        <v>113</v>
      </c>
      <c r="D27" s="8">
        <v>6.77</v>
      </c>
      <c r="E27" s="12">
        <v>62</v>
      </c>
      <c r="F27" s="8">
        <v>8.18</v>
      </c>
      <c r="G27" s="12">
        <v>51</v>
      </c>
      <c r="H27" s="8">
        <v>5.62</v>
      </c>
      <c r="I27" s="12">
        <v>0</v>
      </c>
    </row>
    <row r="28" spans="2:9" ht="15" customHeight="1" x14ac:dyDescent="0.2">
      <c r="B28" t="s">
        <v>98</v>
      </c>
      <c r="C28" s="12">
        <v>92</v>
      </c>
      <c r="D28" s="8">
        <v>5.51</v>
      </c>
      <c r="E28" s="12">
        <v>21</v>
      </c>
      <c r="F28" s="8">
        <v>2.77</v>
      </c>
      <c r="G28" s="12">
        <v>71</v>
      </c>
      <c r="H28" s="8">
        <v>7.83</v>
      </c>
      <c r="I28" s="12">
        <v>0</v>
      </c>
    </row>
    <row r="29" spans="2:9" ht="15" customHeight="1" x14ac:dyDescent="0.2">
      <c r="B29" t="s">
        <v>97</v>
      </c>
      <c r="C29" s="12">
        <v>89</v>
      </c>
      <c r="D29" s="8">
        <v>5.33</v>
      </c>
      <c r="E29" s="12">
        <v>12</v>
      </c>
      <c r="F29" s="8">
        <v>1.58</v>
      </c>
      <c r="G29" s="12">
        <v>77</v>
      </c>
      <c r="H29" s="8">
        <v>8.49</v>
      </c>
      <c r="I29" s="12">
        <v>0</v>
      </c>
    </row>
    <row r="30" spans="2:9" ht="15" customHeight="1" x14ac:dyDescent="0.2">
      <c r="B30" t="s">
        <v>114</v>
      </c>
      <c r="C30" s="12">
        <v>85</v>
      </c>
      <c r="D30" s="8">
        <v>5.09</v>
      </c>
      <c r="E30" s="12">
        <v>67</v>
      </c>
      <c r="F30" s="8">
        <v>8.84</v>
      </c>
      <c r="G30" s="12">
        <v>18</v>
      </c>
      <c r="H30" s="8">
        <v>1.98</v>
      </c>
      <c r="I30" s="12">
        <v>0</v>
      </c>
    </row>
    <row r="31" spans="2:9" ht="15" customHeight="1" x14ac:dyDescent="0.2">
      <c r="B31" t="s">
        <v>104</v>
      </c>
      <c r="C31" s="12">
        <v>80</v>
      </c>
      <c r="D31" s="8">
        <v>4.79</v>
      </c>
      <c r="E31" s="12">
        <v>55</v>
      </c>
      <c r="F31" s="8">
        <v>7.26</v>
      </c>
      <c r="G31" s="12">
        <v>25</v>
      </c>
      <c r="H31" s="8">
        <v>2.76</v>
      </c>
      <c r="I31" s="12">
        <v>0</v>
      </c>
    </row>
    <row r="32" spans="2:9" ht="15" customHeight="1" x14ac:dyDescent="0.2">
      <c r="B32" t="s">
        <v>99</v>
      </c>
      <c r="C32" s="12">
        <v>67</v>
      </c>
      <c r="D32" s="8">
        <v>4.01</v>
      </c>
      <c r="E32" s="12">
        <v>10</v>
      </c>
      <c r="F32" s="8">
        <v>1.32</v>
      </c>
      <c r="G32" s="12">
        <v>57</v>
      </c>
      <c r="H32" s="8">
        <v>6.28</v>
      </c>
      <c r="I32" s="12">
        <v>0</v>
      </c>
    </row>
    <row r="33" spans="2:9" ht="15" customHeight="1" x14ac:dyDescent="0.2">
      <c r="B33" t="s">
        <v>109</v>
      </c>
      <c r="C33" s="12">
        <v>57</v>
      </c>
      <c r="D33" s="8">
        <v>3.41</v>
      </c>
      <c r="E33" s="12">
        <v>30</v>
      </c>
      <c r="F33" s="8">
        <v>3.96</v>
      </c>
      <c r="G33" s="12">
        <v>27</v>
      </c>
      <c r="H33" s="8">
        <v>2.98</v>
      </c>
      <c r="I33" s="12">
        <v>0</v>
      </c>
    </row>
    <row r="34" spans="2:9" ht="15" customHeight="1" x14ac:dyDescent="0.2">
      <c r="B34" t="s">
        <v>115</v>
      </c>
      <c r="C34" s="12">
        <v>56</v>
      </c>
      <c r="D34" s="8">
        <v>3.35</v>
      </c>
      <c r="E34" s="12">
        <v>48</v>
      </c>
      <c r="F34" s="8">
        <v>6.33</v>
      </c>
      <c r="G34" s="12">
        <v>8</v>
      </c>
      <c r="H34" s="8">
        <v>0.88</v>
      </c>
      <c r="I34" s="12">
        <v>0</v>
      </c>
    </row>
    <row r="35" spans="2:9" ht="15" customHeight="1" x14ac:dyDescent="0.2">
      <c r="B35" t="s">
        <v>107</v>
      </c>
      <c r="C35" s="12">
        <v>42</v>
      </c>
      <c r="D35" s="8">
        <v>2.5099999999999998</v>
      </c>
      <c r="E35" s="12">
        <v>3</v>
      </c>
      <c r="F35" s="8">
        <v>0.4</v>
      </c>
      <c r="G35" s="12">
        <v>39</v>
      </c>
      <c r="H35" s="8">
        <v>4.3</v>
      </c>
      <c r="I35" s="12">
        <v>0</v>
      </c>
    </row>
    <row r="36" spans="2:9" ht="15" customHeight="1" x14ac:dyDescent="0.2">
      <c r="B36" t="s">
        <v>113</v>
      </c>
      <c r="C36" s="12">
        <v>38</v>
      </c>
      <c r="D36" s="8">
        <v>2.2799999999999998</v>
      </c>
      <c r="E36" s="12">
        <v>14</v>
      </c>
      <c r="F36" s="8">
        <v>1.85</v>
      </c>
      <c r="G36" s="12">
        <v>24</v>
      </c>
      <c r="H36" s="8">
        <v>2.65</v>
      </c>
      <c r="I36" s="12">
        <v>0</v>
      </c>
    </row>
    <row r="37" spans="2:9" ht="15" customHeight="1" x14ac:dyDescent="0.2">
      <c r="B37" t="s">
        <v>105</v>
      </c>
      <c r="C37" s="12">
        <v>35</v>
      </c>
      <c r="D37" s="8">
        <v>2.1</v>
      </c>
      <c r="E37" s="12">
        <v>19</v>
      </c>
      <c r="F37" s="8">
        <v>2.5099999999999998</v>
      </c>
      <c r="G37" s="12">
        <v>16</v>
      </c>
      <c r="H37" s="8">
        <v>1.76</v>
      </c>
      <c r="I37" s="12">
        <v>0</v>
      </c>
    </row>
    <row r="38" spans="2:9" ht="15" customHeight="1" x14ac:dyDescent="0.2">
      <c r="B38" t="s">
        <v>110</v>
      </c>
      <c r="C38" s="12">
        <v>26</v>
      </c>
      <c r="D38" s="8">
        <v>1.56</v>
      </c>
      <c r="E38" s="12">
        <v>9</v>
      </c>
      <c r="F38" s="8">
        <v>1.19</v>
      </c>
      <c r="G38" s="12">
        <v>17</v>
      </c>
      <c r="H38" s="8">
        <v>1.87</v>
      </c>
      <c r="I38" s="12">
        <v>0</v>
      </c>
    </row>
    <row r="39" spans="2:9" ht="15" customHeight="1" x14ac:dyDescent="0.2">
      <c r="B39" t="s">
        <v>118</v>
      </c>
      <c r="C39" s="12">
        <v>26</v>
      </c>
      <c r="D39" s="8">
        <v>1.56</v>
      </c>
      <c r="E39" s="12">
        <v>0</v>
      </c>
      <c r="F39" s="8">
        <v>0</v>
      </c>
      <c r="G39" s="12">
        <v>23</v>
      </c>
      <c r="H39" s="8">
        <v>2.54</v>
      </c>
      <c r="I39" s="12">
        <v>0</v>
      </c>
    </row>
    <row r="40" spans="2:9" ht="15" customHeight="1" x14ac:dyDescent="0.2">
      <c r="B40" t="s">
        <v>103</v>
      </c>
      <c r="C40" s="12">
        <v>23</v>
      </c>
      <c r="D40" s="8">
        <v>1.38</v>
      </c>
      <c r="E40" s="12">
        <v>8</v>
      </c>
      <c r="F40" s="8">
        <v>1.06</v>
      </c>
      <c r="G40" s="12">
        <v>15</v>
      </c>
      <c r="H40" s="8">
        <v>1.65</v>
      </c>
      <c r="I40" s="12">
        <v>0</v>
      </c>
    </row>
    <row r="41" spans="2:9" ht="15" customHeight="1" x14ac:dyDescent="0.2">
      <c r="B41" t="s">
        <v>117</v>
      </c>
      <c r="C41" s="12">
        <v>20</v>
      </c>
      <c r="D41" s="8">
        <v>1.2</v>
      </c>
      <c r="E41" s="12">
        <v>4</v>
      </c>
      <c r="F41" s="8">
        <v>0.53</v>
      </c>
      <c r="G41" s="12">
        <v>16</v>
      </c>
      <c r="H41" s="8">
        <v>1.76</v>
      </c>
      <c r="I41" s="12">
        <v>0</v>
      </c>
    </row>
    <row r="42" spans="2:9" ht="15" customHeight="1" x14ac:dyDescent="0.2">
      <c r="B42" t="s">
        <v>100</v>
      </c>
      <c r="C42" s="12">
        <v>18</v>
      </c>
      <c r="D42" s="8">
        <v>1.08</v>
      </c>
      <c r="E42" s="12">
        <v>5</v>
      </c>
      <c r="F42" s="8">
        <v>0.66</v>
      </c>
      <c r="G42" s="12">
        <v>13</v>
      </c>
      <c r="H42" s="8">
        <v>1.43</v>
      </c>
      <c r="I42" s="12">
        <v>0</v>
      </c>
    </row>
    <row r="43" spans="2:9" ht="15" customHeight="1" x14ac:dyDescent="0.2">
      <c r="B43" t="s">
        <v>102</v>
      </c>
      <c r="C43" s="12">
        <v>18</v>
      </c>
      <c r="D43" s="8">
        <v>1.08</v>
      </c>
      <c r="E43" s="12">
        <v>1</v>
      </c>
      <c r="F43" s="8">
        <v>0.13</v>
      </c>
      <c r="G43" s="12">
        <v>17</v>
      </c>
      <c r="H43" s="8">
        <v>1.87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173</v>
      </c>
      <c r="C47" s="12">
        <v>104</v>
      </c>
      <c r="D47" s="8">
        <v>6.23</v>
      </c>
      <c r="E47" s="12">
        <v>83</v>
      </c>
      <c r="F47" s="8">
        <v>10.95</v>
      </c>
      <c r="G47" s="12">
        <v>21</v>
      </c>
      <c r="H47" s="8">
        <v>2.3199999999999998</v>
      </c>
      <c r="I47" s="12">
        <v>0</v>
      </c>
    </row>
    <row r="48" spans="2:9" ht="15" customHeight="1" x14ac:dyDescent="0.2">
      <c r="B48" t="s">
        <v>167</v>
      </c>
      <c r="C48" s="12">
        <v>67</v>
      </c>
      <c r="D48" s="8">
        <v>4.01</v>
      </c>
      <c r="E48" s="12">
        <v>15</v>
      </c>
      <c r="F48" s="8">
        <v>1.98</v>
      </c>
      <c r="G48" s="12">
        <v>52</v>
      </c>
      <c r="H48" s="8">
        <v>5.73</v>
      </c>
      <c r="I48" s="12">
        <v>0</v>
      </c>
    </row>
    <row r="49" spans="2:9" ht="15" customHeight="1" x14ac:dyDescent="0.2">
      <c r="B49" t="s">
        <v>172</v>
      </c>
      <c r="C49" s="12">
        <v>61</v>
      </c>
      <c r="D49" s="8">
        <v>3.65</v>
      </c>
      <c r="E49" s="12">
        <v>53</v>
      </c>
      <c r="F49" s="8">
        <v>6.99</v>
      </c>
      <c r="G49" s="12">
        <v>8</v>
      </c>
      <c r="H49" s="8">
        <v>0.88</v>
      </c>
      <c r="I49" s="12">
        <v>0</v>
      </c>
    </row>
    <row r="50" spans="2:9" ht="15" customHeight="1" x14ac:dyDescent="0.2">
      <c r="B50" t="s">
        <v>170</v>
      </c>
      <c r="C50" s="12">
        <v>59</v>
      </c>
      <c r="D50" s="8">
        <v>3.53</v>
      </c>
      <c r="E50" s="12">
        <v>56</v>
      </c>
      <c r="F50" s="8">
        <v>7.39</v>
      </c>
      <c r="G50" s="12">
        <v>3</v>
      </c>
      <c r="H50" s="8">
        <v>0.33</v>
      </c>
      <c r="I50" s="12">
        <v>0</v>
      </c>
    </row>
    <row r="51" spans="2:9" ht="15" customHeight="1" x14ac:dyDescent="0.2">
      <c r="B51" t="s">
        <v>174</v>
      </c>
      <c r="C51" s="12">
        <v>56</v>
      </c>
      <c r="D51" s="8">
        <v>3.35</v>
      </c>
      <c r="E51" s="12">
        <v>47</v>
      </c>
      <c r="F51" s="8">
        <v>6.2</v>
      </c>
      <c r="G51" s="12">
        <v>9</v>
      </c>
      <c r="H51" s="8">
        <v>0.99</v>
      </c>
      <c r="I51" s="12">
        <v>0</v>
      </c>
    </row>
    <row r="52" spans="2:9" ht="15" customHeight="1" x14ac:dyDescent="0.2">
      <c r="B52" t="s">
        <v>169</v>
      </c>
      <c r="C52" s="12">
        <v>45</v>
      </c>
      <c r="D52" s="8">
        <v>2.69</v>
      </c>
      <c r="E52" s="12">
        <v>34</v>
      </c>
      <c r="F52" s="8">
        <v>4.49</v>
      </c>
      <c r="G52" s="12">
        <v>11</v>
      </c>
      <c r="H52" s="8">
        <v>1.21</v>
      </c>
      <c r="I52" s="12">
        <v>0</v>
      </c>
    </row>
    <row r="53" spans="2:9" ht="15" customHeight="1" x14ac:dyDescent="0.2">
      <c r="B53" t="s">
        <v>164</v>
      </c>
      <c r="C53" s="12">
        <v>40</v>
      </c>
      <c r="D53" s="8">
        <v>2.4</v>
      </c>
      <c r="E53" s="12">
        <v>29</v>
      </c>
      <c r="F53" s="8">
        <v>3.83</v>
      </c>
      <c r="G53" s="12">
        <v>11</v>
      </c>
      <c r="H53" s="8">
        <v>1.21</v>
      </c>
      <c r="I53" s="12">
        <v>0</v>
      </c>
    </row>
    <row r="54" spans="2:9" ht="15" customHeight="1" x14ac:dyDescent="0.2">
      <c r="B54" t="s">
        <v>175</v>
      </c>
      <c r="C54" s="12">
        <v>40</v>
      </c>
      <c r="D54" s="8">
        <v>2.4</v>
      </c>
      <c r="E54" s="12">
        <v>35</v>
      </c>
      <c r="F54" s="8">
        <v>4.62</v>
      </c>
      <c r="G54" s="12">
        <v>5</v>
      </c>
      <c r="H54" s="8">
        <v>0.55000000000000004</v>
      </c>
      <c r="I54" s="12">
        <v>0</v>
      </c>
    </row>
    <row r="55" spans="2:9" ht="15" customHeight="1" x14ac:dyDescent="0.2">
      <c r="B55" t="s">
        <v>168</v>
      </c>
      <c r="C55" s="12">
        <v>39</v>
      </c>
      <c r="D55" s="8">
        <v>2.34</v>
      </c>
      <c r="E55" s="12">
        <v>1</v>
      </c>
      <c r="F55" s="8">
        <v>0.13</v>
      </c>
      <c r="G55" s="12">
        <v>38</v>
      </c>
      <c r="H55" s="8">
        <v>4.1900000000000004</v>
      </c>
      <c r="I55" s="12">
        <v>0</v>
      </c>
    </row>
    <row r="56" spans="2:9" ht="15" customHeight="1" x14ac:dyDescent="0.2">
      <c r="B56" t="s">
        <v>162</v>
      </c>
      <c r="C56" s="12">
        <v>38</v>
      </c>
      <c r="D56" s="8">
        <v>2.2799999999999998</v>
      </c>
      <c r="E56" s="12">
        <v>26</v>
      </c>
      <c r="F56" s="8">
        <v>3.43</v>
      </c>
      <c r="G56" s="12">
        <v>12</v>
      </c>
      <c r="H56" s="8">
        <v>1.32</v>
      </c>
      <c r="I56" s="12">
        <v>0</v>
      </c>
    </row>
    <row r="57" spans="2:9" ht="15" customHeight="1" x14ac:dyDescent="0.2">
      <c r="B57" t="s">
        <v>165</v>
      </c>
      <c r="C57" s="12">
        <v>33</v>
      </c>
      <c r="D57" s="8">
        <v>1.98</v>
      </c>
      <c r="E57" s="12">
        <v>2</v>
      </c>
      <c r="F57" s="8">
        <v>0.26</v>
      </c>
      <c r="G57" s="12">
        <v>31</v>
      </c>
      <c r="H57" s="8">
        <v>3.42</v>
      </c>
      <c r="I57" s="12">
        <v>0</v>
      </c>
    </row>
    <row r="58" spans="2:9" ht="15" customHeight="1" x14ac:dyDescent="0.2">
      <c r="B58" t="s">
        <v>158</v>
      </c>
      <c r="C58" s="12">
        <v>30</v>
      </c>
      <c r="D58" s="8">
        <v>1.8</v>
      </c>
      <c r="E58" s="12">
        <v>6</v>
      </c>
      <c r="F58" s="8">
        <v>0.79</v>
      </c>
      <c r="G58" s="12">
        <v>24</v>
      </c>
      <c r="H58" s="8">
        <v>2.65</v>
      </c>
      <c r="I58" s="12">
        <v>0</v>
      </c>
    </row>
    <row r="59" spans="2:9" ht="15" customHeight="1" x14ac:dyDescent="0.2">
      <c r="B59" t="s">
        <v>161</v>
      </c>
      <c r="C59" s="12">
        <v>30</v>
      </c>
      <c r="D59" s="8">
        <v>1.8</v>
      </c>
      <c r="E59" s="12">
        <v>3</v>
      </c>
      <c r="F59" s="8">
        <v>0.4</v>
      </c>
      <c r="G59" s="12">
        <v>27</v>
      </c>
      <c r="H59" s="8">
        <v>2.98</v>
      </c>
      <c r="I59" s="12">
        <v>0</v>
      </c>
    </row>
    <row r="60" spans="2:9" ht="15" customHeight="1" x14ac:dyDescent="0.2">
      <c r="B60" t="s">
        <v>185</v>
      </c>
      <c r="C60" s="12">
        <v>27</v>
      </c>
      <c r="D60" s="8">
        <v>1.62</v>
      </c>
      <c r="E60" s="12">
        <v>10</v>
      </c>
      <c r="F60" s="8">
        <v>1.32</v>
      </c>
      <c r="G60" s="12">
        <v>17</v>
      </c>
      <c r="H60" s="8">
        <v>1.87</v>
      </c>
      <c r="I60" s="12">
        <v>0</v>
      </c>
    </row>
    <row r="61" spans="2:9" ht="15" customHeight="1" x14ac:dyDescent="0.2">
      <c r="B61" t="s">
        <v>171</v>
      </c>
      <c r="C61" s="12">
        <v>26</v>
      </c>
      <c r="D61" s="8">
        <v>1.56</v>
      </c>
      <c r="E61" s="12">
        <v>14</v>
      </c>
      <c r="F61" s="8">
        <v>1.85</v>
      </c>
      <c r="G61" s="12">
        <v>12</v>
      </c>
      <c r="H61" s="8">
        <v>1.32</v>
      </c>
      <c r="I61" s="12">
        <v>0</v>
      </c>
    </row>
    <row r="62" spans="2:9" ht="15" customHeight="1" x14ac:dyDescent="0.2">
      <c r="B62" t="s">
        <v>191</v>
      </c>
      <c r="C62" s="12">
        <v>25</v>
      </c>
      <c r="D62" s="8">
        <v>1.5</v>
      </c>
      <c r="E62" s="12">
        <v>24</v>
      </c>
      <c r="F62" s="8">
        <v>3.17</v>
      </c>
      <c r="G62" s="12">
        <v>1</v>
      </c>
      <c r="H62" s="8">
        <v>0.11</v>
      </c>
      <c r="I62" s="12">
        <v>0</v>
      </c>
    </row>
    <row r="63" spans="2:9" ht="15" customHeight="1" x14ac:dyDescent="0.2">
      <c r="B63" t="s">
        <v>179</v>
      </c>
      <c r="C63" s="12">
        <v>24</v>
      </c>
      <c r="D63" s="8">
        <v>1.44</v>
      </c>
      <c r="E63" s="12">
        <v>20</v>
      </c>
      <c r="F63" s="8">
        <v>2.64</v>
      </c>
      <c r="G63" s="12">
        <v>4</v>
      </c>
      <c r="H63" s="8">
        <v>0.44</v>
      </c>
      <c r="I63" s="12">
        <v>0</v>
      </c>
    </row>
    <row r="64" spans="2:9" ht="15" customHeight="1" x14ac:dyDescent="0.2">
      <c r="B64" t="s">
        <v>197</v>
      </c>
      <c r="C64" s="12">
        <v>23</v>
      </c>
      <c r="D64" s="8">
        <v>1.38</v>
      </c>
      <c r="E64" s="12">
        <v>6</v>
      </c>
      <c r="F64" s="8">
        <v>0.79</v>
      </c>
      <c r="G64" s="12">
        <v>17</v>
      </c>
      <c r="H64" s="8">
        <v>1.87</v>
      </c>
      <c r="I64" s="12">
        <v>0</v>
      </c>
    </row>
    <row r="65" spans="2:9" ht="15" customHeight="1" x14ac:dyDescent="0.2">
      <c r="B65" t="s">
        <v>166</v>
      </c>
      <c r="C65" s="12">
        <v>23</v>
      </c>
      <c r="D65" s="8">
        <v>1.38</v>
      </c>
      <c r="E65" s="12">
        <v>2</v>
      </c>
      <c r="F65" s="8">
        <v>0.26</v>
      </c>
      <c r="G65" s="12">
        <v>21</v>
      </c>
      <c r="H65" s="8">
        <v>2.3199999999999998</v>
      </c>
      <c r="I65" s="12">
        <v>0</v>
      </c>
    </row>
    <row r="66" spans="2:9" ht="15" customHeight="1" x14ac:dyDescent="0.2">
      <c r="B66" t="s">
        <v>157</v>
      </c>
      <c r="C66" s="12">
        <v>21</v>
      </c>
      <c r="D66" s="8">
        <v>1.26</v>
      </c>
      <c r="E66" s="12">
        <v>1</v>
      </c>
      <c r="F66" s="8">
        <v>0.13</v>
      </c>
      <c r="G66" s="12">
        <v>20</v>
      </c>
      <c r="H66" s="8">
        <v>2.21</v>
      </c>
      <c r="I66" s="12">
        <v>0</v>
      </c>
    </row>
    <row r="67" spans="2:9" ht="15" customHeight="1" x14ac:dyDescent="0.2">
      <c r="B67" t="s">
        <v>177</v>
      </c>
      <c r="C67" s="12">
        <v>21</v>
      </c>
      <c r="D67" s="8">
        <v>1.26</v>
      </c>
      <c r="E67" s="12">
        <v>2</v>
      </c>
      <c r="F67" s="8">
        <v>0.26</v>
      </c>
      <c r="G67" s="12">
        <v>19</v>
      </c>
      <c r="H67" s="8">
        <v>2.09</v>
      </c>
      <c r="I67" s="12">
        <v>0</v>
      </c>
    </row>
    <row r="68" spans="2:9" ht="15" customHeight="1" x14ac:dyDescent="0.2">
      <c r="B68" t="s">
        <v>160</v>
      </c>
      <c r="C68" s="12">
        <v>21</v>
      </c>
      <c r="D68" s="8">
        <v>1.26</v>
      </c>
      <c r="E68" s="12">
        <v>5</v>
      </c>
      <c r="F68" s="8">
        <v>0.66</v>
      </c>
      <c r="G68" s="12">
        <v>16</v>
      </c>
      <c r="H68" s="8">
        <v>1.76</v>
      </c>
      <c r="I68" s="12">
        <v>0</v>
      </c>
    </row>
    <row r="70" spans="2:9" ht="15" customHeight="1" x14ac:dyDescent="0.2">
      <c r="B70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8030E-CDB2-4B12-A437-BFA9C8A2B32F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322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120</v>
      </c>
      <c r="D6" s="8">
        <v>14.53</v>
      </c>
      <c r="E6" s="12">
        <v>39</v>
      </c>
      <c r="F6" s="8">
        <v>9.31</v>
      </c>
      <c r="G6" s="12">
        <v>81</v>
      </c>
      <c r="H6" s="8">
        <v>20.100000000000001</v>
      </c>
      <c r="I6" s="12">
        <v>0</v>
      </c>
    </row>
    <row r="7" spans="2:9" ht="15" customHeight="1" x14ac:dyDescent="0.2">
      <c r="B7" t="s">
        <v>76</v>
      </c>
      <c r="C7" s="12">
        <v>72</v>
      </c>
      <c r="D7" s="8">
        <v>8.7200000000000006</v>
      </c>
      <c r="E7" s="12">
        <v>24</v>
      </c>
      <c r="F7" s="8">
        <v>5.73</v>
      </c>
      <c r="G7" s="12">
        <v>48</v>
      </c>
      <c r="H7" s="8">
        <v>11.91</v>
      </c>
      <c r="I7" s="12">
        <v>0</v>
      </c>
    </row>
    <row r="8" spans="2:9" ht="15" customHeight="1" x14ac:dyDescent="0.2">
      <c r="B8" t="s">
        <v>77</v>
      </c>
      <c r="C8" s="12">
        <v>3</v>
      </c>
      <c r="D8" s="8">
        <v>0.36</v>
      </c>
      <c r="E8" s="12">
        <v>0</v>
      </c>
      <c r="F8" s="8">
        <v>0</v>
      </c>
      <c r="G8" s="12">
        <v>2</v>
      </c>
      <c r="H8" s="8">
        <v>0.5</v>
      </c>
      <c r="I8" s="12">
        <v>0</v>
      </c>
    </row>
    <row r="9" spans="2:9" ht="15" customHeight="1" x14ac:dyDescent="0.2">
      <c r="B9" t="s">
        <v>78</v>
      </c>
      <c r="C9" s="12">
        <v>2</v>
      </c>
      <c r="D9" s="8">
        <v>0.24</v>
      </c>
      <c r="E9" s="12">
        <v>0</v>
      </c>
      <c r="F9" s="8">
        <v>0</v>
      </c>
      <c r="G9" s="12">
        <v>2</v>
      </c>
      <c r="H9" s="8">
        <v>0.5</v>
      </c>
      <c r="I9" s="12">
        <v>0</v>
      </c>
    </row>
    <row r="10" spans="2:9" ht="15" customHeight="1" x14ac:dyDescent="0.2">
      <c r="B10" t="s">
        <v>79</v>
      </c>
      <c r="C10" s="12">
        <v>11</v>
      </c>
      <c r="D10" s="8">
        <v>1.33</v>
      </c>
      <c r="E10" s="12">
        <v>1</v>
      </c>
      <c r="F10" s="8">
        <v>0.24</v>
      </c>
      <c r="G10" s="12">
        <v>10</v>
      </c>
      <c r="H10" s="8">
        <v>2.48</v>
      </c>
      <c r="I10" s="12">
        <v>0</v>
      </c>
    </row>
    <row r="11" spans="2:9" ht="15" customHeight="1" x14ac:dyDescent="0.2">
      <c r="B11" t="s">
        <v>80</v>
      </c>
      <c r="C11" s="12">
        <v>167</v>
      </c>
      <c r="D11" s="8">
        <v>20.22</v>
      </c>
      <c r="E11" s="12">
        <v>76</v>
      </c>
      <c r="F11" s="8">
        <v>18.14</v>
      </c>
      <c r="G11" s="12">
        <v>91</v>
      </c>
      <c r="H11" s="8">
        <v>22.58</v>
      </c>
      <c r="I11" s="12">
        <v>0</v>
      </c>
    </row>
    <row r="12" spans="2:9" ht="15" customHeight="1" x14ac:dyDescent="0.2">
      <c r="B12" t="s">
        <v>81</v>
      </c>
      <c r="C12" s="12">
        <v>3</v>
      </c>
      <c r="D12" s="8">
        <v>0.36</v>
      </c>
      <c r="E12" s="12">
        <v>0</v>
      </c>
      <c r="F12" s="8">
        <v>0</v>
      </c>
      <c r="G12" s="12">
        <v>3</v>
      </c>
      <c r="H12" s="8">
        <v>0.74</v>
      </c>
      <c r="I12" s="12">
        <v>0</v>
      </c>
    </row>
    <row r="13" spans="2:9" ht="15" customHeight="1" x14ac:dyDescent="0.2">
      <c r="B13" t="s">
        <v>82</v>
      </c>
      <c r="C13" s="12">
        <v>98</v>
      </c>
      <c r="D13" s="8">
        <v>11.86</v>
      </c>
      <c r="E13" s="12">
        <v>50</v>
      </c>
      <c r="F13" s="8">
        <v>11.93</v>
      </c>
      <c r="G13" s="12">
        <v>48</v>
      </c>
      <c r="H13" s="8">
        <v>11.91</v>
      </c>
      <c r="I13" s="12">
        <v>0</v>
      </c>
    </row>
    <row r="14" spans="2:9" ht="15" customHeight="1" x14ac:dyDescent="0.2">
      <c r="B14" t="s">
        <v>83</v>
      </c>
      <c r="C14" s="12">
        <v>47</v>
      </c>
      <c r="D14" s="8">
        <v>5.69</v>
      </c>
      <c r="E14" s="12">
        <v>18</v>
      </c>
      <c r="F14" s="8">
        <v>4.3</v>
      </c>
      <c r="G14" s="12">
        <v>29</v>
      </c>
      <c r="H14" s="8">
        <v>7.2</v>
      </c>
      <c r="I14" s="12">
        <v>0</v>
      </c>
    </row>
    <row r="15" spans="2:9" ht="15" customHeight="1" x14ac:dyDescent="0.2">
      <c r="B15" t="s">
        <v>84</v>
      </c>
      <c r="C15" s="12">
        <v>61</v>
      </c>
      <c r="D15" s="8">
        <v>7.38</v>
      </c>
      <c r="E15" s="12">
        <v>43</v>
      </c>
      <c r="F15" s="8">
        <v>10.26</v>
      </c>
      <c r="G15" s="12">
        <v>18</v>
      </c>
      <c r="H15" s="8">
        <v>4.47</v>
      </c>
      <c r="I15" s="12">
        <v>0</v>
      </c>
    </row>
    <row r="16" spans="2:9" ht="15" customHeight="1" x14ac:dyDescent="0.2">
      <c r="B16" t="s">
        <v>85</v>
      </c>
      <c r="C16" s="12">
        <v>129</v>
      </c>
      <c r="D16" s="8">
        <v>15.62</v>
      </c>
      <c r="E16" s="12">
        <v>105</v>
      </c>
      <c r="F16" s="8">
        <v>25.06</v>
      </c>
      <c r="G16" s="12">
        <v>23</v>
      </c>
      <c r="H16" s="8">
        <v>5.71</v>
      </c>
      <c r="I16" s="12">
        <v>1</v>
      </c>
    </row>
    <row r="17" spans="2:9" ht="15" customHeight="1" x14ac:dyDescent="0.2">
      <c r="B17" t="s">
        <v>86</v>
      </c>
      <c r="C17" s="12">
        <v>42</v>
      </c>
      <c r="D17" s="8">
        <v>5.08</v>
      </c>
      <c r="E17" s="12">
        <v>29</v>
      </c>
      <c r="F17" s="8">
        <v>6.92</v>
      </c>
      <c r="G17" s="12">
        <v>12</v>
      </c>
      <c r="H17" s="8">
        <v>2.98</v>
      </c>
      <c r="I17" s="12">
        <v>0</v>
      </c>
    </row>
    <row r="18" spans="2:9" ht="15" customHeight="1" x14ac:dyDescent="0.2">
      <c r="B18" t="s">
        <v>87</v>
      </c>
      <c r="C18" s="12">
        <v>40</v>
      </c>
      <c r="D18" s="8">
        <v>4.84</v>
      </c>
      <c r="E18" s="12">
        <v>23</v>
      </c>
      <c r="F18" s="8">
        <v>5.49</v>
      </c>
      <c r="G18" s="12">
        <v>16</v>
      </c>
      <c r="H18" s="8">
        <v>3.97</v>
      </c>
      <c r="I18" s="12">
        <v>0</v>
      </c>
    </row>
    <row r="19" spans="2:9" ht="15" customHeight="1" x14ac:dyDescent="0.2">
      <c r="B19" t="s">
        <v>88</v>
      </c>
      <c r="C19" s="12">
        <v>31</v>
      </c>
      <c r="D19" s="8">
        <v>3.75</v>
      </c>
      <c r="E19" s="12">
        <v>11</v>
      </c>
      <c r="F19" s="8">
        <v>2.63</v>
      </c>
      <c r="G19" s="12">
        <v>20</v>
      </c>
      <c r="H19" s="8">
        <v>4.96</v>
      </c>
      <c r="I19" s="12">
        <v>0</v>
      </c>
    </row>
    <row r="20" spans="2:9" ht="15" customHeight="1" x14ac:dyDescent="0.2">
      <c r="B20" s="9" t="s">
        <v>269</v>
      </c>
      <c r="C20" s="12">
        <f>SUM(LTBL_11246[総数／事業所数])</f>
        <v>826</v>
      </c>
      <c r="E20" s="12">
        <f>SUBTOTAL(109,LTBL_11246[個人／事業所数])</f>
        <v>419</v>
      </c>
      <c r="G20" s="12">
        <f>SUBTOTAL(109,LTBL_11246[法人／事業所数])</f>
        <v>403</v>
      </c>
      <c r="I20" s="12">
        <f>SUBTOTAL(109,LTBL_11246[法人以外の団体／事業所数])</f>
        <v>1</v>
      </c>
    </row>
    <row r="21" spans="2:9" ht="15" customHeight="1" x14ac:dyDescent="0.2">
      <c r="E21" s="11">
        <f>LTBL_11246[[#Totals],[個人／事業所数]]/LTBL_11246[[#Totals],[総数／事業所数]]</f>
        <v>0.50726392251815977</v>
      </c>
      <c r="G21" s="11">
        <f>LTBL_11246[[#Totals],[法人／事業所数]]/LTBL_11246[[#Totals],[総数／事業所数]]</f>
        <v>0.48789346246973364</v>
      </c>
      <c r="I21" s="11">
        <f>LTBL_11246[[#Totals],[法人以外の団体／事業所数]]/LTBL_11246[[#Totals],[総数／事業所数]]</f>
        <v>1.2106537530266344E-3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96</v>
      </c>
      <c r="D24" s="8">
        <v>11.62</v>
      </c>
      <c r="E24" s="12">
        <v>79</v>
      </c>
      <c r="F24" s="8">
        <v>18.850000000000001</v>
      </c>
      <c r="G24" s="12">
        <v>17</v>
      </c>
      <c r="H24" s="8">
        <v>4.22</v>
      </c>
      <c r="I24" s="12">
        <v>0</v>
      </c>
    </row>
    <row r="25" spans="2:9" ht="15" customHeight="1" x14ac:dyDescent="0.2">
      <c r="B25" t="s">
        <v>108</v>
      </c>
      <c r="C25" s="12">
        <v>79</v>
      </c>
      <c r="D25" s="8">
        <v>9.56</v>
      </c>
      <c r="E25" s="12">
        <v>48</v>
      </c>
      <c r="F25" s="8">
        <v>11.46</v>
      </c>
      <c r="G25" s="12">
        <v>31</v>
      </c>
      <c r="H25" s="8">
        <v>7.69</v>
      </c>
      <c r="I25" s="12">
        <v>0</v>
      </c>
    </row>
    <row r="26" spans="2:9" ht="15" customHeight="1" x14ac:dyDescent="0.2">
      <c r="B26" t="s">
        <v>111</v>
      </c>
      <c r="C26" s="12">
        <v>53</v>
      </c>
      <c r="D26" s="8">
        <v>6.42</v>
      </c>
      <c r="E26" s="12">
        <v>43</v>
      </c>
      <c r="F26" s="8">
        <v>10.26</v>
      </c>
      <c r="G26" s="12">
        <v>10</v>
      </c>
      <c r="H26" s="8">
        <v>2.48</v>
      </c>
      <c r="I26" s="12">
        <v>0</v>
      </c>
    </row>
    <row r="27" spans="2:9" ht="15" customHeight="1" x14ac:dyDescent="0.2">
      <c r="B27" t="s">
        <v>106</v>
      </c>
      <c r="C27" s="12">
        <v>51</v>
      </c>
      <c r="D27" s="8">
        <v>6.17</v>
      </c>
      <c r="E27" s="12">
        <v>30</v>
      </c>
      <c r="F27" s="8">
        <v>7.16</v>
      </c>
      <c r="G27" s="12">
        <v>21</v>
      </c>
      <c r="H27" s="8">
        <v>5.21</v>
      </c>
      <c r="I27" s="12">
        <v>0</v>
      </c>
    </row>
    <row r="28" spans="2:9" ht="15" customHeight="1" x14ac:dyDescent="0.2">
      <c r="B28" t="s">
        <v>97</v>
      </c>
      <c r="C28" s="12">
        <v>50</v>
      </c>
      <c r="D28" s="8">
        <v>6.05</v>
      </c>
      <c r="E28" s="12">
        <v>13</v>
      </c>
      <c r="F28" s="8">
        <v>3.1</v>
      </c>
      <c r="G28" s="12">
        <v>37</v>
      </c>
      <c r="H28" s="8">
        <v>9.18</v>
      </c>
      <c r="I28" s="12">
        <v>0</v>
      </c>
    </row>
    <row r="29" spans="2:9" ht="15" customHeight="1" x14ac:dyDescent="0.2">
      <c r="B29" t="s">
        <v>114</v>
      </c>
      <c r="C29" s="12">
        <v>42</v>
      </c>
      <c r="D29" s="8">
        <v>5.08</v>
      </c>
      <c r="E29" s="12">
        <v>29</v>
      </c>
      <c r="F29" s="8">
        <v>6.92</v>
      </c>
      <c r="G29" s="12">
        <v>12</v>
      </c>
      <c r="H29" s="8">
        <v>2.98</v>
      </c>
      <c r="I29" s="12">
        <v>0</v>
      </c>
    </row>
    <row r="30" spans="2:9" ht="15" customHeight="1" x14ac:dyDescent="0.2">
      <c r="B30" t="s">
        <v>98</v>
      </c>
      <c r="C30" s="12">
        <v>39</v>
      </c>
      <c r="D30" s="8">
        <v>4.72</v>
      </c>
      <c r="E30" s="12">
        <v>22</v>
      </c>
      <c r="F30" s="8">
        <v>5.25</v>
      </c>
      <c r="G30" s="12">
        <v>17</v>
      </c>
      <c r="H30" s="8">
        <v>4.22</v>
      </c>
      <c r="I30" s="12">
        <v>0</v>
      </c>
    </row>
    <row r="31" spans="2:9" ht="15" customHeight="1" x14ac:dyDescent="0.2">
      <c r="B31" t="s">
        <v>99</v>
      </c>
      <c r="C31" s="12">
        <v>31</v>
      </c>
      <c r="D31" s="8">
        <v>3.75</v>
      </c>
      <c r="E31" s="12">
        <v>4</v>
      </c>
      <c r="F31" s="8">
        <v>0.95</v>
      </c>
      <c r="G31" s="12">
        <v>27</v>
      </c>
      <c r="H31" s="8">
        <v>6.7</v>
      </c>
      <c r="I31" s="12">
        <v>0</v>
      </c>
    </row>
    <row r="32" spans="2:9" ht="15" customHeight="1" x14ac:dyDescent="0.2">
      <c r="B32" t="s">
        <v>104</v>
      </c>
      <c r="C32" s="12">
        <v>31</v>
      </c>
      <c r="D32" s="8">
        <v>3.75</v>
      </c>
      <c r="E32" s="12">
        <v>22</v>
      </c>
      <c r="F32" s="8">
        <v>5.25</v>
      </c>
      <c r="G32" s="12">
        <v>9</v>
      </c>
      <c r="H32" s="8">
        <v>2.23</v>
      </c>
      <c r="I32" s="12">
        <v>0</v>
      </c>
    </row>
    <row r="33" spans="2:9" ht="15" customHeight="1" x14ac:dyDescent="0.2">
      <c r="B33" t="s">
        <v>105</v>
      </c>
      <c r="C33" s="12">
        <v>30</v>
      </c>
      <c r="D33" s="8">
        <v>3.63</v>
      </c>
      <c r="E33" s="12">
        <v>14</v>
      </c>
      <c r="F33" s="8">
        <v>3.34</v>
      </c>
      <c r="G33" s="12">
        <v>16</v>
      </c>
      <c r="H33" s="8">
        <v>3.97</v>
      </c>
      <c r="I33" s="12">
        <v>0</v>
      </c>
    </row>
    <row r="34" spans="2:9" ht="15" customHeight="1" x14ac:dyDescent="0.2">
      <c r="B34" t="s">
        <v>113</v>
      </c>
      <c r="C34" s="12">
        <v>28</v>
      </c>
      <c r="D34" s="8">
        <v>3.39</v>
      </c>
      <c r="E34" s="12">
        <v>24</v>
      </c>
      <c r="F34" s="8">
        <v>5.73</v>
      </c>
      <c r="G34" s="12">
        <v>3</v>
      </c>
      <c r="H34" s="8">
        <v>0.74</v>
      </c>
      <c r="I34" s="12">
        <v>1</v>
      </c>
    </row>
    <row r="35" spans="2:9" ht="15" customHeight="1" x14ac:dyDescent="0.2">
      <c r="B35" t="s">
        <v>115</v>
      </c>
      <c r="C35" s="12">
        <v>26</v>
      </c>
      <c r="D35" s="8">
        <v>3.15</v>
      </c>
      <c r="E35" s="12">
        <v>22</v>
      </c>
      <c r="F35" s="8">
        <v>5.25</v>
      </c>
      <c r="G35" s="12">
        <v>4</v>
      </c>
      <c r="H35" s="8">
        <v>0.99</v>
      </c>
      <c r="I35" s="12">
        <v>0</v>
      </c>
    </row>
    <row r="36" spans="2:9" ht="15" customHeight="1" x14ac:dyDescent="0.2">
      <c r="B36" t="s">
        <v>110</v>
      </c>
      <c r="C36" s="12">
        <v>22</v>
      </c>
      <c r="D36" s="8">
        <v>2.66</v>
      </c>
      <c r="E36" s="12">
        <v>8</v>
      </c>
      <c r="F36" s="8">
        <v>1.91</v>
      </c>
      <c r="G36" s="12">
        <v>14</v>
      </c>
      <c r="H36" s="8">
        <v>3.47</v>
      </c>
      <c r="I36" s="12">
        <v>0</v>
      </c>
    </row>
    <row r="37" spans="2:9" ht="15" customHeight="1" x14ac:dyDescent="0.2">
      <c r="B37" t="s">
        <v>109</v>
      </c>
      <c r="C37" s="12">
        <v>20</v>
      </c>
      <c r="D37" s="8">
        <v>2.42</v>
      </c>
      <c r="E37" s="12">
        <v>10</v>
      </c>
      <c r="F37" s="8">
        <v>2.39</v>
      </c>
      <c r="G37" s="12">
        <v>10</v>
      </c>
      <c r="H37" s="8">
        <v>2.48</v>
      </c>
      <c r="I37" s="12">
        <v>0</v>
      </c>
    </row>
    <row r="38" spans="2:9" ht="15" customHeight="1" x14ac:dyDescent="0.2">
      <c r="B38" t="s">
        <v>118</v>
      </c>
      <c r="C38" s="12">
        <v>14</v>
      </c>
      <c r="D38" s="8">
        <v>1.69</v>
      </c>
      <c r="E38" s="12">
        <v>1</v>
      </c>
      <c r="F38" s="8">
        <v>0.24</v>
      </c>
      <c r="G38" s="12">
        <v>12</v>
      </c>
      <c r="H38" s="8">
        <v>2.98</v>
      </c>
      <c r="I38" s="12">
        <v>0</v>
      </c>
    </row>
    <row r="39" spans="2:9" ht="15" customHeight="1" x14ac:dyDescent="0.2">
      <c r="B39" t="s">
        <v>107</v>
      </c>
      <c r="C39" s="12">
        <v>13</v>
      </c>
      <c r="D39" s="8">
        <v>1.57</v>
      </c>
      <c r="E39" s="12">
        <v>1</v>
      </c>
      <c r="F39" s="8">
        <v>0.24</v>
      </c>
      <c r="G39" s="12">
        <v>12</v>
      </c>
      <c r="H39" s="8">
        <v>2.98</v>
      </c>
      <c r="I39" s="12">
        <v>0</v>
      </c>
    </row>
    <row r="40" spans="2:9" ht="15" customHeight="1" x14ac:dyDescent="0.2">
      <c r="B40" t="s">
        <v>116</v>
      </c>
      <c r="C40" s="12">
        <v>12</v>
      </c>
      <c r="D40" s="8">
        <v>1.45</v>
      </c>
      <c r="E40" s="12">
        <v>7</v>
      </c>
      <c r="F40" s="8">
        <v>1.67</v>
      </c>
      <c r="G40" s="12">
        <v>5</v>
      </c>
      <c r="H40" s="8">
        <v>1.24</v>
      </c>
      <c r="I40" s="12">
        <v>0</v>
      </c>
    </row>
    <row r="41" spans="2:9" ht="15" customHeight="1" x14ac:dyDescent="0.2">
      <c r="B41" t="s">
        <v>101</v>
      </c>
      <c r="C41" s="12">
        <v>11</v>
      </c>
      <c r="D41" s="8">
        <v>1.33</v>
      </c>
      <c r="E41" s="12">
        <v>1</v>
      </c>
      <c r="F41" s="8">
        <v>0.24</v>
      </c>
      <c r="G41" s="12">
        <v>10</v>
      </c>
      <c r="H41" s="8">
        <v>2.48</v>
      </c>
      <c r="I41" s="12">
        <v>0</v>
      </c>
    </row>
    <row r="42" spans="2:9" ht="15" customHeight="1" x14ac:dyDescent="0.2">
      <c r="B42" t="s">
        <v>100</v>
      </c>
      <c r="C42" s="12">
        <v>10</v>
      </c>
      <c r="D42" s="8">
        <v>1.21</v>
      </c>
      <c r="E42" s="12">
        <v>3</v>
      </c>
      <c r="F42" s="8">
        <v>0.72</v>
      </c>
      <c r="G42" s="12">
        <v>7</v>
      </c>
      <c r="H42" s="8">
        <v>1.74</v>
      </c>
      <c r="I42" s="12">
        <v>0</v>
      </c>
    </row>
    <row r="43" spans="2:9" ht="15" customHeight="1" x14ac:dyDescent="0.2">
      <c r="B43" t="s">
        <v>120</v>
      </c>
      <c r="C43" s="12">
        <v>10</v>
      </c>
      <c r="D43" s="8">
        <v>1.21</v>
      </c>
      <c r="E43" s="12">
        <v>0</v>
      </c>
      <c r="F43" s="8">
        <v>0</v>
      </c>
      <c r="G43" s="12">
        <v>10</v>
      </c>
      <c r="H43" s="8">
        <v>2.48</v>
      </c>
      <c r="I43" s="12">
        <v>0</v>
      </c>
    </row>
    <row r="44" spans="2:9" ht="15" customHeight="1" x14ac:dyDescent="0.2">
      <c r="B44" t="s">
        <v>117</v>
      </c>
      <c r="C44" s="12">
        <v>10</v>
      </c>
      <c r="D44" s="8">
        <v>1.21</v>
      </c>
      <c r="E44" s="12">
        <v>1</v>
      </c>
      <c r="F44" s="8">
        <v>0.24</v>
      </c>
      <c r="G44" s="12">
        <v>9</v>
      </c>
      <c r="H44" s="8">
        <v>2.23</v>
      </c>
      <c r="I44" s="12">
        <v>0</v>
      </c>
    </row>
    <row r="45" spans="2:9" ht="15" customHeight="1" x14ac:dyDescent="0.2">
      <c r="B45" t="s">
        <v>103</v>
      </c>
      <c r="C45" s="12">
        <v>10</v>
      </c>
      <c r="D45" s="8">
        <v>1.21</v>
      </c>
      <c r="E45" s="12">
        <v>4</v>
      </c>
      <c r="F45" s="8">
        <v>0.95</v>
      </c>
      <c r="G45" s="12">
        <v>6</v>
      </c>
      <c r="H45" s="8">
        <v>1.49</v>
      </c>
      <c r="I45" s="12">
        <v>0</v>
      </c>
    </row>
    <row r="48" spans="2:9" ht="33" customHeight="1" x14ac:dyDescent="0.2">
      <c r="B48" t="s">
        <v>271</v>
      </c>
      <c r="C48" s="10" t="s">
        <v>90</v>
      </c>
      <c r="D48" s="10" t="s">
        <v>91</v>
      </c>
      <c r="E48" s="10" t="s">
        <v>92</v>
      </c>
      <c r="F48" s="10" t="s">
        <v>93</v>
      </c>
      <c r="G48" s="10" t="s">
        <v>94</v>
      </c>
      <c r="H48" s="10" t="s">
        <v>95</v>
      </c>
      <c r="I48" s="10" t="s">
        <v>96</v>
      </c>
    </row>
    <row r="49" spans="2:9" ht="15" customHeight="1" x14ac:dyDescent="0.2">
      <c r="B49" t="s">
        <v>173</v>
      </c>
      <c r="C49" s="12">
        <v>50</v>
      </c>
      <c r="D49" s="8">
        <v>6.05</v>
      </c>
      <c r="E49" s="12">
        <v>43</v>
      </c>
      <c r="F49" s="8">
        <v>10.26</v>
      </c>
      <c r="G49" s="12">
        <v>7</v>
      </c>
      <c r="H49" s="8">
        <v>1.74</v>
      </c>
      <c r="I49" s="12">
        <v>0</v>
      </c>
    </row>
    <row r="50" spans="2:9" ht="15" customHeight="1" x14ac:dyDescent="0.2">
      <c r="B50" t="s">
        <v>167</v>
      </c>
      <c r="C50" s="12">
        <v>42</v>
      </c>
      <c r="D50" s="8">
        <v>5.08</v>
      </c>
      <c r="E50" s="12">
        <v>29</v>
      </c>
      <c r="F50" s="8">
        <v>6.92</v>
      </c>
      <c r="G50" s="12">
        <v>13</v>
      </c>
      <c r="H50" s="8">
        <v>3.23</v>
      </c>
      <c r="I50" s="12">
        <v>0</v>
      </c>
    </row>
    <row r="51" spans="2:9" ht="15" customHeight="1" x14ac:dyDescent="0.2">
      <c r="B51" t="s">
        <v>172</v>
      </c>
      <c r="C51" s="12">
        <v>26</v>
      </c>
      <c r="D51" s="8">
        <v>3.15</v>
      </c>
      <c r="E51" s="12">
        <v>23</v>
      </c>
      <c r="F51" s="8">
        <v>5.49</v>
      </c>
      <c r="G51" s="12">
        <v>3</v>
      </c>
      <c r="H51" s="8">
        <v>0.74</v>
      </c>
      <c r="I51" s="12">
        <v>0</v>
      </c>
    </row>
    <row r="52" spans="2:9" ht="15" customHeight="1" x14ac:dyDescent="0.2">
      <c r="B52" t="s">
        <v>174</v>
      </c>
      <c r="C52" s="12">
        <v>26</v>
      </c>
      <c r="D52" s="8">
        <v>3.15</v>
      </c>
      <c r="E52" s="12">
        <v>21</v>
      </c>
      <c r="F52" s="8">
        <v>5.01</v>
      </c>
      <c r="G52" s="12">
        <v>5</v>
      </c>
      <c r="H52" s="8">
        <v>1.24</v>
      </c>
      <c r="I52" s="12">
        <v>0</v>
      </c>
    </row>
    <row r="53" spans="2:9" ht="15" customHeight="1" x14ac:dyDescent="0.2">
      <c r="B53" t="s">
        <v>209</v>
      </c>
      <c r="C53" s="12">
        <v>24</v>
      </c>
      <c r="D53" s="8">
        <v>2.91</v>
      </c>
      <c r="E53" s="12">
        <v>22</v>
      </c>
      <c r="F53" s="8">
        <v>5.25</v>
      </c>
      <c r="G53" s="12">
        <v>1</v>
      </c>
      <c r="H53" s="8">
        <v>0.25</v>
      </c>
      <c r="I53" s="12">
        <v>1</v>
      </c>
    </row>
    <row r="54" spans="2:9" ht="15" customHeight="1" x14ac:dyDescent="0.2">
      <c r="B54" t="s">
        <v>158</v>
      </c>
      <c r="C54" s="12">
        <v>19</v>
      </c>
      <c r="D54" s="8">
        <v>2.2999999999999998</v>
      </c>
      <c r="E54" s="12">
        <v>5</v>
      </c>
      <c r="F54" s="8">
        <v>1.19</v>
      </c>
      <c r="G54" s="12">
        <v>14</v>
      </c>
      <c r="H54" s="8">
        <v>3.47</v>
      </c>
      <c r="I54" s="12">
        <v>0</v>
      </c>
    </row>
    <row r="55" spans="2:9" ht="15" customHeight="1" x14ac:dyDescent="0.2">
      <c r="B55" t="s">
        <v>163</v>
      </c>
      <c r="C55" s="12">
        <v>19</v>
      </c>
      <c r="D55" s="8">
        <v>2.2999999999999998</v>
      </c>
      <c r="E55" s="12">
        <v>10</v>
      </c>
      <c r="F55" s="8">
        <v>2.39</v>
      </c>
      <c r="G55" s="12">
        <v>9</v>
      </c>
      <c r="H55" s="8">
        <v>2.23</v>
      </c>
      <c r="I55" s="12">
        <v>0</v>
      </c>
    </row>
    <row r="56" spans="2:9" ht="15" customHeight="1" x14ac:dyDescent="0.2">
      <c r="B56" t="s">
        <v>189</v>
      </c>
      <c r="C56" s="12">
        <v>17</v>
      </c>
      <c r="D56" s="8">
        <v>2.06</v>
      </c>
      <c r="E56" s="12">
        <v>17</v>
      </c>
      <c r="F56" s="8">
        <v>4.0599999999999996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170</v>
      </c>
      <c r="C57" s="12">
        <v>17</v>
      </c>
      <c r="D57" s="8">
        <v>2.06</v>
      </c>
      <c r="E57" s="12">
        <v>14</v>
      </c>
      <c r="F57" s="8">
        <v>3.34</v>
      </c>
      <c r="G57" s="12">
        <v>3</v>
      </c>
      <c r="H57" s="8">
        <v>0.74</v>
      </c>
      <c r="I57" s="12">
        <v>0</v>
      </c>
    </row>
    <row r="58" spans="2:9" ht="15" customHeight="1" x14ac:dyDescent="0.2">
      <c r="B58" t="s">
        <v>175</v>
      </c>
      <c r="C58" s="12">
        <v>17</v>
      </c>
      <c r="D58" s="8">
        <v>2.06</v>
      </c>
      <c r="E58" s="12">
        <v>13</v>
      </c>
      <c r="F58" s="8">
        <v>3.1</v>
      </c>
      <c r="G58" s="12">
        <v>4</v>
      </c>
      <c r="H58" s="8">
        <v>0.99</v>
      </c>
      <c r="I58" s="12">
        <v>0</v>
      </c>
    </row>
    <row r="59" spans="2:9" ht="15" customHeight="1" x14ac:dyDescent="0.2">
      <c r="B59" t="s">
        <v>161</v>
      </c>
      <c r="C59" s="12">
        <v>14</v>
      </c>
      <c r="D59" s="8">
        <v>1.69</v>
      </c>
      <c r="E59" s="12">
        <v>4</v>
      </c>
      <c r="F59" s="8">
        <v>0.95</v>
      </c>
      <c r="G59" s="12">
        <v>10</v>
      </c>
      <c r="H59" s="8">
        <v>2.48</v>
      </c>
      <c r="I59" s="12">
        <v>0</v>
      </c>
    </row>
    <row r="60" spans="2:9" ht="15" customHeight="1" x14ac:dyDescent="0.2">
      <c r="B60" t="s">
        <v>162</v>
      </c>
      <c r="C60" s="12">
        <v>14</v>
      </c>
      <c r="D60" s="8">
        <v>1.69</v>
      </c>
      <c r="E60" s="12">
        <v>12</v>
      </c>
      <c r="F60" s="8">
        <v>2.86</v>
      </c>
      <c r="G60" s="12">
        <v>2</v>
      </c>
      <c r="H60" s="8">
        <v>0.5</v>
      </c>
      <c r="I60" s="12">
        <v>0</v>
      </c>
    </row>
    <row r="61" spans="2:9" ht="15" customHeight="1" x14ac:dyDescent="0.2">
      <c r="B61" t="s">
        <v>185</v>
      </c>
      <c r="C61" s="12">
        <v>14</v>
      </c>
      <c r="D61" s="8">
        <v>1.69</v>
      </c>
      <c r="E61" s="12">
        <v>7</v>
      </c>
      <c r="F61" s="8">
        <v>1.67</v>
      </c>
      <c r="G61" s="12">
        <v>7</v>
      </c>
      <c r="H61" s="8">
        <v>1.74</v>
      </c>
      <c r="I61" s="12">
        <v>0</v>
      </c>
    </row>
    <row r="62" spans="2:9" ht="15" customHeight="1" x14ac:dyDescent="0.2">
      <c r="B62" t="s">
        <v>164</v>
      </c>
      <c r="C62" s="12">
        <v>14</v>
      </c>
      <c r="D62" s="8">
        <v>1.69</v>
      </c>
      <c r="E62" s="12">
        <v>8</v>
      </c>
      <c r="F62" s="8">
        <v>1.91</v>
      </c>
      <c r="G62" s="12">
        <v>6</v>
      </c>
      <c r="H62" s="8">
        <v>1.49</v>
      </c>
      <c r="I62" s="12">
        <v>0</v>
      </c>
    </row>
    <row r="63" spans="2:9" ht="15" customHeight="1" x14ac:dyDescent="0.2">
      <c r="B63" t="s">
        <v>166</v>
      </c>
      <c r="C63" s="12">
        <v>14</v>
      </c>
      <c r="D63" s="8">
        <v>1.69</v>
      </c>
      <c r="E63" s="12">
        <v>1</v>
      </c>
      <c r="F63" s="8">
        <v>0.24</v>
      </c>
      <c r="G63" s="12">
        <v>13</v>
      </c>
      <c r="H63" s="8">
        <v>3.23</v>
      </c>
      <c r="I63" s="12">
        <v>0</v>
      </c>
    </row>
    <row r="64" spans="2:9" ht="15" customHeight="1" x14ac:dyDescent="0.2">
      <c r="B64" t="s">
        <v>159</v>
      </c>
      <c r="C64" s="12">
        <v>13</v>
      </c>
      <c r="D64" s="8">
        <v>1.57</v>
      </c>
      <c r="E64" s="12">
        <v>6</v>
      </c>
      <c r="F64" s="8">
        <v>1.43</v>
      </c>
      <c r="G64" s="12">
        <v>7</v>
      </c>
      <c r="H64" s="8">
        <v>1.74</v>
      </c>
      <c r="I64" s="12">
        <v>0</v>
      </c>
    </row>
    <row r="65" spans="2:9" ht="15" customHeight="1" x14ac:dyDescent="0.2">
      <c r="B65" t="s">
        <v>160</v>
      </c>
      <c r="C65" s="12">
        <v>13</v>
      </c>
      <c r="D65" s="8">
        <v>1.57</v>
      </c>
      <c r="E65" s="12">
        <v>0</v>
      </c>
      <c r="F65" s="8">
        <v>0</v>
      </c>
      <c r="G65" s="12">
        <v>13</v>
      </c>
      <c r="H65" s="8">
        <v>3.23</v>
      </c>
      <c r="I65" s="12">
        <v>0</v>
      </c>
    </row>
    <row r="66" spans="2:9" ht="15" customHeight="1" x14ac:dyDescent="0.2">
      <c r="B66" t="s">
        <v>171</v>
      </c>
      <c r="C66" s="12">
        <v>13</v>
      </c>
      <c r="D66" s="8">
        <v>1.57</v>
      </c>
      <c r="E66" s="12">
        <v>7</v>
      </c>
      <c r="F66" s="8">
        <v>1.67</v>
      </c>
      <c r="G66" s="12">
        <v>6</v>
      </c>
      <c r="H66" s="8">
        <v>1.49</v>
      </c>
      <c r="I66" s="12">
        <v>0</v>
      </c>
    </row>
    <row r="67" spans="2:9" ht="15" customHeight="1" x14ac:dyDescent="0.2">
      <c r="B67" t="s">
        <v>179</v>
      </c>
      <c r="C67" s="12">
        <v>13</v>
      </c>
      <c r="D67" s="8">
        <v>1.57</v>
      </c>
      <c r="E67" s="12">
        <v>8</v>
      </c>
      <c r="F67" s="8">
        <v>1.91</v>
      </c>
      <c r="G67" s="12">
        <v>5</v>
      </c>
      <c r="H67" s="8">
        <v>1.24</v>
      </c>
      <c r="I67" s="12">
        <v>0</v>
      </c>
    </row>
    <row r="68" spans="2:9" ht="15" customHeight="1" x14ac:dyDescent="0.2">
      <c r="B68" t="s">
        <v>178</v>
      </c>
      <c r="C68" s="12">
        <v>12</v>
      </c>
      <c r="D68" s="8">
        <v>1.45</v>
      </c>
      <c r="E68" s="12">
        <v>4</v>
      </c>
      <c r="F68" s="8">
        <v>0.95</v>
      </c>
      <c r="G68" s="12">
        <v>8</v>
      </c>
      <c r="H68" s="8">
        <v>1.99</v>
      </c>
      <c r="I68" s="12">
        <v>0</v>
      </c>
    </row>
    <row r="69" spans="2:9" ht="15" customHeight="1" x14ac:dyDescent="0.2">
      <c r="B69" t="s">
        <v>176</v>
      </c>
      <c r="C69" s="12">
        <v>12</v>
      </c>
      <c r="D69" s="8">
        <v>1.45</v>
      </c>
      <c r="E69" s="12">
        <v>7</v>
      </c>
      <c r="F69" s="8">
        <v>1.67</v>
      </c>
      <c r="G69" s="12">
        <v>5</v>
      </c>
      <c r="H69" s="8">
        <v>1.24</v>
      </c>
      <c r="I69" s="12">
        <v>0</v>
      </c>
    </row>
    <row r="71" spans="2:9" ht="15" customHeight="1" x14ac:dyDescent="0.2">
      <c r="B71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89D6B-3DA9-49EB-857B-C161F3F0D4DA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323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147</v>
      </c>
      <c r="D6" s="8">
        <v>20.14</v>
      </c>
      <c r="E6" s="12">
        <v>35</v>
      </c>
      <c r="F6" s="8">
        <v>11.67</v>
      </c>
      <c r="G6" s="12">
        <v>112</v>
      </c>
      <c r="H6" s="8">
        <v>26.92</v>
      </c>
      <c r="I6" s="12">
        <v>0</v>
      </c>
    </row>
    <row r="7" spans="2:9" ht="15" customHeight="1" x14ac:dyDescent="0.2">
      <c r="B7" t="s">
        <v>76</v>
      </c>
      <c r="C7" s="12">
        <v>109</v>
      </c>
      <c r="D7" s="8">
        <v>14.93</v>
      </c>
      <c r="E7" s="12">
        <v>23</v>
      </c>
      <c r="F7" s="8">
        <v>7.67</v>
      </c>
      <c r="G7" s="12">
        <v>86</v>
      </c>
      <c r="H7" s="8">
        <v>20.67</v>
      </c>
      <c r="I7" s="12">
        <v>0</v>
      </c>
    </row>
    <row r="8" spans="2:9" ht="15" customHeight="1" x14ac:dyDescent="0.2">
      <c r="B8" t="s">
        <v>77</v>
      </c>
      <c r="C8" s="12">
        <v>1</v>
      </c>
      <c r="D8" s="8">
        <v>0.14000000000000001</v>
      </c>
      <c r="E8" s="12">
        <v>0</v>
      </c>
      <c r="F8" s="8">
        <v>0</v>
      </c>
      <c r="G8" s="12">
        <v>1</v>
      </c>
      <c r="H8" s="8">
        <v>0.24</v>
      </c>
      <c r="I8" s="12">
        <v>0</v>
      </c>
    </row>
    <row r="9" spans="2:9" ht="15" customHeight="1" x14ac:dyDescent="0.2">
      <c r="B9" t="s">
        <v>78</v>
      </c>
      <c r="C9" s="12">
        <v>6</v>
      </c>
      <c r="D9" s="8">
        <v>0.82</v>
      </c>
      <c r="E9" s="12">
        <v>1</v>
      </c>
      <c r="F9" s="8">
        <v>0.33</v>
      </c>
      <c r="G9" s="12">
        <v>5</v>
      </c>
      <c r="H9" s="8">
        <v>1.2</v>
      </c>
      <c r="I9" s="12">
        <v>0</v>
      </c>
    </row>
    <row r="10" spans="2:9" ht="15" customHeight="1" x14ac:dyDescent="0.2">
      <c r="B10" t="s">
        <v>79</v>
      </c>
      <c r="C10" s="12">
        <v>9</v>
      </c>
      <c r="D10" s="8">
        <v>1.23</v>
      </c>
      <c r="E10" s="12">
        <v>2</v>
      </c>
      <c r="F10" s="8">
        <v>0.67</v>
      </c>
      <c r="G10" s="12">
        <v>7</v>
      </c>
      <c r="H10" s="8">
        <v>1.68</v>
      </c>
      <c r="I10" s="12">
        <v>0</v>
      </c>
    </row>
    <row r="11" spans="2:9" ht="15" customHeight="1" x14ac:dyDescent="0.2">
      <c r="B11" t="s">
        <v>80</v>
      </c>
      <c r="C11" s="12">
        <v>139</v>
      </c>
      <c r="D11" s="8">
        <v>19.04</v>
      </c>
      <c r="E11" s="12">
        <v>52</v>
      </c>
      <c r="F11" s="8">
        <v>17.329999999999998</v>
      </c>
      <c r="G11" s="12">
        <v>87</v>
      </c>
      <c r="H11" s="8">
        <v>20.91</v>
      </c>
      <c r="I11" s="12">
        <v>0</v>
      </c>
    </row>
    <row r="12" spans="2:9" ht="15" customHeight="1" x14ac:dyDescent="0.2">
      <c r="B12" t="s">
        <v>81</v>
      </c>
      <c r="C12" s="12">
        <v>4</v>
      </c>
      <c r="D12" s="8">
        <v>0.55000000000000004</v>
      </c>
      <c r="E12" s="12">
        <v>0</v>
      </c>
      <c r="F12" s="8">
        <v>0</v>
      </c>
      <c r="G12" s="12">
        <v>4</v>
      </c>
      <c r="H12" s="8">
        <v>0.96</v>
      </c>
      <c r="I12" s="12">
        <v>0</v>
      </c>
    </row>
    <row r="13" spans="2:9" ht="15" customHeight="1" x14ac:dyDescent="0.2">
      <c r="B13" t="s">
        <v>82</v>
      </c>
      <c r="C13" s="12">
        <v>47</v>
      </c>
      <c r="D13" s="8">
        <v>6.44</v>
      </c>
      <c r="E13" s="12">
        <v>7</v>
      </c>
      <c r="F13" s="8">
        <v>2.33</v>
      </c>
      <c r="G13" s="12">
        <v>40</v>
      </c>
      <c r="H13" s="8">
        <v>9.6199999999999992</v>
      </c>
      <c r="I13" s="12">
        <v>0</v>
      </c>
    </row>
    <row r="14" spans="2:9" ht="15" customHeight="1" x14ac:dyDescent="0.2">
      <c r="B14" t="s">
        <v>83</v>
      </c>
      <c r="C14" s="12">
        <v>23</v>
      </c>
      <c r="D14" s="8">
        <v>3.15</v>
      </c>
      <c r="E14" s="12">
        <v>9</v>
      </c>
      <c r="F14" s="8">
        <v>3</v>
      </c>
      <c r="G14" s="12">
        <v>14</v>
      </c>
      <c r="H14" s="8">
        <v>3.37</v>
      </c>
      <c r="I14" s="12">
        <v>0</v>
      </c>
    </row>
    <row r="15" spans="2:9" ht="15" customHeight="1" x14ac:dyDescent="0.2">
      <c r="B15" t="s">
        <v>84</v>
      </c>
      <c r="C15" s="12">
        <v>53</v>
      </c>
      <c r="D15" s="8">
        <v>7.26</v>
      </c>
      <c r="E15" s="12">
        <v>44</v>
      </c>
      <c r="F15" s="8">
        <v>14.67</v>
      </c>
      <c r="G15" s="12">
        <v>9</v>
      </c>
      <c r="H15" s="8">
        <v>2.16</v>
      </c>
      <c r="I15" s="12">
        <v>0</v>
      </c>
    </row>
    <row r="16" spans="2:9" ht="15" customHeight="1" x14ac:dyDescent="0.2">
      <c r="B16" t="s">
        <v>85</v>
      </c>
      <c r="C16" s="12">
        <v>76</v>
      </c>
      <c r="D16" s="8">
        <v>10.41</v>
      </c>
      <c r="E16" s="12">
        <v>62</v>
      </c>
      <c r="F16" s="8">
        <v>20.67</v>
      </c>
      <c r="G16" s="12">
        <v>14</v>
      </c>
      <c r="H16" s="8">
        <v>3.37</v>
      </c>
      <c r="I16" s="12">
        <v>0</v>
      </c>
    </row>
    <row r="17" spans="2:9" ht="15" customHeight="1" x14ac:dyDescent="0.2">
      <c r="B17" t="s">
        <v>86</v>
      </c>
      <c r="C17" s="12">
        <v>42</v>
      </c>
      <c r="D17" s="8">
        <v>5.75</v>
      </c>
      <c r="E17" s="12">
        <v>32</v>
      </c>
      <c r="F17" s="8">
        <v>10.67</v>
      </c>
      <c r="G17" s="12">
        <v>9</v>
      </c>
      <c r="H17" s="8">
        <v>2.16</v>
      </c>
      <c r="I17" s="12">
        <v>0</v>
      </c>
    </row>
    <row r="18" spans="2:9" ht="15" customHeight="1" x14ac:dyDescent="0.2">
      <c r="B18" t="s">
        <v>87</v>
      </c>
      <c r="C18" s="12">
        <v>43</v>
      </c>
      <c r="D18" s="8">
        <v>5.89</v>
      </c>
      <c r="E18" s="12">
        <v>25</v>
      </c>
      <c r="F18" s="8">
        <v>8.33</v>
      </c>
      <c r="G18" s="12">
        <v>5</v>
      </c>
      <c r="H18" s="8">
        <v>1.2</v>
      </c>
      <c r="I18" s="12">
        <v>0</v>
      </c>
    </row>
    <row r="19" spans="2:9" ht="15" customHeight="1" x14ac:dyDescent="0.2">
      <c r="B19" t="s">
        <v>88</v>
      </c>
      <c r="C19" s="12">
        <v>31</v>
      </c>
      <c r="D19" s="8">
        <v>4.25</v>
      </c>
      <c r="E19" s="12">
        <v>8</v>
      </c>
      <c r="F19" s="8">
        <v>2.67</v>
      </c>
      <c r="G19" s="12">
        <v>23</v>
      </c>
      <c r="H19" s="8">
        <v>5.53</v>
      </c>
      <c r="I19" s="12">
        <v>0</v>
      </c>
    </row>
    <row r="20" spans="2:9" ht="15" customHeight="1" x14ac:dyDescent="0.2">
      <c r="B20" s="9" t="s">
        <v>269</v>
      </c>
      <c r="C20" s="12">
        <f>SUM(LTBL_11301[総数／事業所数])</f>
        <v>730</v>
      </c>
      <c r="E20" s="12">
        <f>SUBTOTAL(109,LTBL_11301[個人／事業所数])</f>
        <v>300</v>
      </c>
      <c r="G20" s="12">
        <f>SUBTOTAL(109,LTBL_11301[法人／事業所数])</f>
        <v>416</v>
      </c>
      <c r="I20" s="12">
        <f>SUBTOTAL(109,LTBL_11301[法人以外の団体／事業所数])</f>
        <v>0</v>
      </c>
    </row>
    <row r="21" spans="2:9" ht="15" customHeight="1" x14ac:dyDescent="0.2">
      <c r="E21" s="11">
        <f>LTBL_11301[[#Totals],[個人／事業所数]]/LTBL_11301[[#Totals],[総数／事業所数]]</f>
        <v>0.41095890410958902</v>
      </c>
      <c r="G21" s="11">
        <f>LTBL_11301[[#Totals],[法人／事業所数]]/LTBL_11301[[#Totals],[総数／事業所数]]</f>
        <v>0.56986301369863013</v>
      </c>
      <c r="I21" s="11">
        <f>LTBL_11301[[#Totals],[法人以外の団体／事業所数]]/LTBL_11301[[#Totals],[総数／事業所数]]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62</v>
      </c>
      <c r="D24" s="8">
        <v>8.49</v>
      </c>
      <c r="E24" s="12">
        <v>57</v>
      </c>
      <c r="F24" s="8">
        <v>19</v>
      </c>
      <c r="G24" s="12">
        <v>5</v>
      </c>
      <c r="H24" s="8">
        <v>1.2</v>
      </c>
      <c r="I24" s="12">
        <v>0</v>
      </c>
    </row>
    <row r="25" spans="2:9" ht="15" customHeight="1" x14ac:dyDescent="0.2">
      <c r="B25" t="s">
        <v>97</v>
      </c>
      <c r="C25" s="12">
        <v>52</v>
      </c>
      <c r="D25" s="8">
        <v>7.12</v>
      </c>
      <c r="E25" s="12">
        <v>9</v>
      </c>
      <c r="F25" s="8">
        <v>3</v>
      </c>
      <c r="G25" s="12">
        <v>43</v>
      </c>
      <c r="H25" s="8">
        <v>10.34</v>
      </c>
      <c r="I25" s="12">
        <v>0</v>
      </c>
    </row>
    <row r="26" spans="2:9" ht="15" customHeight="1" x14ac:dyDescent="0.2">
      <c r="B26" t="s">
        <v>98</v>
      </c>
      <c r="C26" s="12">
        <v>49</v>
      </c>
      <c r="D26" s="8">
        <v>6.71</v>
      </c>
      <c r="E26" s="12">
        <v>18</v>
      </c>
      <c r="F26" s="8">
        <v>6</v>
      </c>
      <c r="G26" s="12">
        <v>31</v>
      </c>
      <c r="H26" s="8">
        <v>7.45</v>
      </c>
      <c r="I26" s="12">
        <v>0</v>
      </c>
    </row>
    <row r="27" spans="2:9" ht="15" customHeight="1" x14ac:dyDescent="0.2">
      <c r="B27" t="s">
        <v>111</v>
      </c>
      <c r="C27" s="12">
        <v>48</v>
      </c>
      <c r="D27" s="8">
        <v>6.58</v>
      </c>
      <c r="E27" s="12">
        <v>42</v>
      </c>
      <c r="F27" s="8">
        <v>14</v>
      </c>
      <c r="G27" s="12">
        <v>6</v>
      </c>
      <c r="H27" s="8">
        <v>1.44</v>
      </c>
      <c r="I27" s="12">
        <v>0</v>
      </c>
    </row>
    <row r="28" spans="2:9" ht="15" customHeight="1" x14ac:dyDescent="0.2">
      <c r="B28" t="s">
        <v>99</v>
      </c>
      <c r="C28" s="12">
        <v>46</v>
      </c>
      <c r="D28" s="8">
        <v>6.3</v>
      </c>
      <c r="E28" s="12">
        <v>8</v>
      </c>
      <c r="F28" s="8">
        <v>2.67</v>
      </c>
      <c r="G28" s="12">
        <v>38</v>
      </c>
      <c r="H28" s="8">
        <v>9.1300000000000008</v>
      </c>
      <c r="I28" s="12">
        <v>0</v>
      </c>
    </row>
    <row r="29" spans="2:9" ht="15" customHeight="1" x14ac:dyDescent="0.2">
      <c r="B29" t="s">
        <v>114</v>
      </c>
      <c r="C29" s="12">
        <v>42</v>
      </c>
      <c r="D29" s="8">
        <v>5.75</v>
      </c>
      <c r="E29" s="12">
        <v>32</v>
      </c>
      <c r="F29" s="8">
        <v>10.67</v>
      </c>
      <c r="G29" s="12">
        <v>9</v>
      </c>
      <c r="H29" s="8">
        <v>2.16</v>
      </c>
      <c r="I29" s="12">
        <v>0</v>
      </c>
    </row>
    <row r="30" spans="2:9" ht="15" customHeight="1" x14ac:dyDescent="0.2">
      <c r="B30" t="s">
        <v>108</v>
      </c>
      <c r="C30" s="12">
        <v>35</v>
      </c>
      <c r="D30" s="8">
        <v>4.79</v>
      </c>
      <c r="E30" s="12">
        <v>6</v>
      </c>
      <c r="F30" s="8">
        <v>2</v>
      </c>
      <c r="G30" s="12">
        <v>29</v>
      </c>
      <c r="H30" s="8">
        <v>6.97</v>
      </c>
      <c r="I30" s="12">
        <v>0</v>
      </c>
    </row>
    <row r="31" spans="2:9" ht="15" customHeight="1" x14ac:dyDescent="0.2">
      <c r="B31" t="s">
        <v>106</v>
      </c>
      <c r="C31" s="12">
        <v>30</v>
      </c>
      <c r="D31" s="8">
        <v>4.1100000000000003</v>
      </c>
      <c r="E31" s="12">
        <v>12</v>
      </c>
      <c r="F31" s="8">
        <v>4</v>
      </c>
      <c r="G31" s="12">
        <v>18</v>
      </c>
      <c r="H31" s="8">
        <v>4.33</v>
      </c>
      <c r="I31" s="12">
        <v>0</v>
      </c>
    </row>
    <row r="32" spans="2:9" ht="15" customHeight="1" x14ac:dyDescent="0.2">
      <c r="B32" t="s">
        <v>105</v>
      </c>
      <c r="C32" s="12">
        <v>28</v>
      </c>
      <c r="D32" s="8">
        <v>3.84</v>
      </c>
      <c r="E32" s="12">
        <v>8</v>
      </c>
      <c r="F32" s="8">
        <v>2.67</v>
      </c>
      <c r="G32" s="12">
        <v>20</v>
      </c>
      <c r="H32" s="8">
        <v>4.8099999999999996</v>
      </c>
      <c r="I32" s="12">
        <v>0</v>
      </c>
    </row>
    <row r="33" spans="2:9" ht="15" customHeight="1" x14ac:dyDescent="0.2">
      <c r="B33" t="s">
        <v>115</v>
      </c>
      <c r="C33" s="12">
        <v>28</v>
      </c>
      <c r="D33" s="8">
        <v>3.84</v>
      </c>
      <c r="E33" s="12">
        <v>25</v>
      </c>
      <c r="F33" s="8">
        <v>8.33</v>
      </c>
      <c r="G33" s="12">
        <v>3</v>
      </c>
      <c r="H33" s="8">
        <v>0.72</v>
      </c>
      <c r="I33" s="12">
        <v>0</v>
      </c>
    </row>
    <row r="34" spans="2:9" ht="15" customHeight="1" x14ac:dyDescent="0.2">
      <c r="B34" t="s">
        <v>100</v>
      </c>
      <c r="C34" s="12">
        <v>25</v>
      </c>
      <c r="D34" s="8">
        <v>3.42</v>
      </c>
      <c r="E34" s="12">
        <v>7</v>
      </c>
      <c r="F34" s="8">
        <v>2.33</v>
      </c>
      <c r="G34" s="12">
        <v>18</v>
      </c>
      <c r="H34" s="8">
        <v>4.33</v>
      </c>
      <c r="I34" s="12">
        <v>0</v>
      </c>
    </row>
    <row r="35" spans="2:9" ht="15" customHeight="1" x14ac:dyDescent="0.2">
      <c r="B35" t="s">
        <v>104</v>
      </c>
      <c r="C35" s="12">
        <v>24</v>
      </c>
      <c r="D35" s="8">
        <v>3.29</v>
      </c>
      <c r="E35" s="12">
        <v>19</v>
      </c>
      <c r="F35" s="8">
        <v>6.33</v>
      </c>
      <c r="G35" s="12">
        <v>5</v>
      </c>
      <c r="H35" s="8">
        <v>1.2</v>
      </c>
      <c r="I35" s="12">
        <v>0</v>
      </c>
    </row>
    <row r="36" spans="2:9" ht="15" customHeight="1" x14ac:dyDescent="0.2">
      <c r="B36" t="s">
        <v>120</v>
      </c>
      <c r="C36" s="12">
        <v>22</v>
      </c>
      <c r="D36" s="8">
        <v>3.01</v>
      </c>
      <c r="E36" s="12">
        <v>4</v>
      </c>
      <c r="F36" s="8">
        <v>1.33</v>
      </c>
      <c r="G36" s="12">
        <v>18</v>
      </c>
      <c r="H36" s="8">
        <v>4.33</v>
      </c>
      <c r="I36" s="12">
        <v>0</v>
      </c>
    </row>
    <row r="37" spans="2:9" ht="15" customHeight="1" x14ac:dyDescent="0.2">
      <c r="B37" t="s">
        <v>110</v>
      </c>
      <c r="C37" s="12">
        <v>15</v>
      </c>
      <c r="D37" s="8">
        <v>2.0499999999999998</v>
      </c>
      <c r="E37" s="12">
        <v>5</v>
      </c>
      <c r="F37" s="8">
        <v>1.67</v>
      </c>
      <c r="G37" s="12">
        <v>10</v>
      </c>
      <c r="H37" s="8">
        <v>2.4</v>
      </c>
      <c r="I37" s="12">
        <v>0</v>
      </c>
    </row>
    <row r="38" spans="2:9" ht="15" customHeight="1" x14ac:dyDescent="0.2">
      <c r="B38" t="s">
        <v>118</v>
      </c>
      <c r="C38" s="12">
        <v>15</v>
      </c>
      <c r="D38" s="8">
        <v>2.0499999999999998</v>
      </c>
      <c r="E38" s="12">
        <v>0</v>
      </c>
      <c r="F38" s="8">
        <v>0</v>
      </c>
      <c r="G38" s="12">
        <v>2</v>
      </c>
      <c r="H38" s="8">
        <v>0.48</v>
      </c>
      <c r="I38" s="12">
        <v>0</v>
      </c>
    </row>
    <row r="39" spans="2:9" ht="15" customHeight="1" x14ac:dyDescent="0.2">
      <c r="B39" t="s">
        <v>102</v>
      </c>
      <c r="C39" s="12">
        <v>14</v>
      </c>
      <c r="D39" s="8">
        <v>1.92</v>
      </c>
      <c r="E39" s="12">
        <v>2</v>
      </c>
      <c r="F39" s="8">
        <v>0.67</v>
      </c>
      <c r="G39" s="12">
        <v>12</v>
      </c>
      <c r="H39" s="8">
        <v>2.88</v>
      </c>
      <c r="I39" s="12">
        <v>0</v>
      </c>
    </row>
    <row r="40" spans="2:9" ht="15" customHeight="1" x14ac:dyDescent="0.2">
      <c r="B40" t="s">
        <v>116</v>
      </c>
      <c r="C40" s="12">
        <v>14</v>
      </c>
      <c r="D40" s="8">
        <v>1.92</v>
      </c>
      <c r="E40" s="12">
        <v>6</v>
      </c>
      <c r="F40" s="8">
        <v>2</v>
      </c>
      <c r="G40" s="12">
        <v>8</v>
      </c>
      <c r="H40" s="8">
        <v>1.92</v>
      </c>
      <c r="I40" s="12">
        <v>0</v>
      </c>
    </row>
    <row r="41" spans="2:9" ht="15" customHeight="1" x14ac:dyDescent="0.2">
      <c r="B41" t="s">
        <v>128</v>
      </c>
      <c r="C41" s="12">
        <v>11</v>
      </c>
      <c r="D41" s="8">
        <v>1.51</v>
      </c>
      <c r="E41" s="12">
        <v>2</v>
      </c>
      <c r="F41" s="8">
        <v>0.67</v>
      </c>
      <c r="G41" s="12">
        <v>9</v>
      </c>
      <c r="H41" s="8">
        <v>2.16</v>
      </c>
      <c r="I41" s="12">
        <v>0</v>
      </c>
    </row>
    <row r="42" spans="2:9" ht="15" customHeight="1" x14ac:dyDescent="0.2">
      <c r="B42" t="s">
        <v>101</v>
      </c>
      <c r="C42" s="12">
        <v>11</v>
      </c>
      <c r="D42" s="8">
        <v>1.51</v>
      </c>
      <c r="E42" s="12">
        <v>3</v>
      </c>
      <c r="F42" s="8">
        <v>1</v>
      </c>
      <c r="G42" s="12">
        <v>8</v>
      </c>
      <c r="H42" s="8">
        <v>1.92</v>
      </c>
      <c r="I42" s="12">
        <v>0</v>
      </c>
    </row>
    <row r="43" spans="2:9" ht="15" customHeight="1" x14ac:dyDescent="0.2">
      <c r="B43" t="s">
        <v>125</v>
      </c>
      <c r="C43" s="12">
        <v>10</v>
      </c>
      <c r="D43" s="8">
        <v>1.37</v>
      </c>
      <c r="E43" s="12">
        <v>4</v>
      </c>
      <c r="F43" s="8">
        <v>1.33</v>
      </c>
      <c r="G43" s="12">
        <v>6</v>
      </c>
      <c r="H43" s="8">
        <v>1.44</v>
      </c>
      <c r="I43" s="12">
        <v>0</v>
      </c>
    </row>
    <row r="44" spans="2:9" ht="15" customHeight="1" x14ac:dyDescent="0.2">
      <c r="B44" t="s">
        <v>113</v>
      </c>
      <c r="C44" s="12">
        <v>10</v>
      </c>
      <c r="D44" s="8">
        <v>1.37</v>
      </c>
      <c r="E44" s="12">
        <v>3</v>
      </c>
      <c r="F44" s="8">
        <v>1</v>
      </c>
      <c r="G44" s="12">
        <v>7</v>
      </c>
      <c r="H44" s="8">
        <v>1.68</v>
      </c>
      <c r="I44" s="12">
        <v>0</v>
      </c>
    </row>
    <row r="47" spans="2:9" ht="33" customHeight="1" x14ac:dyDescent="0.2">
      <c r="B47" t="s">
        <v>271</v>
      </c>
      <c r="C47" s="10" t="s">
        <v>90</v>
      </c>
      <c r="D47" s="10" t="s">
        <v>91</v>
      </c>
      <c r="E47" s="10" t="s">
        <v>92</v>
      </c>
      <c r="F47" s="10" t="s">
        <v>93</v>
      </c>
      <c r="G47" s="10" t="s">
        <v>94</v>
      </c>
      <c r="H47" s="10" t="s">
        <v>95</v>
      </c>
      <c r="I47" s="10" t="s">
        <v>96</v>
      </c>
    </row>
    <row r="48" spans="2:9" ht="15" customHeight="1" x14ac:dyDescent="0.2">
      <c r="B48" t="s">
        <v>173</v>
      </c>
      <c r="C48" s="12">
        <v>28</v>
      </c>
      <c r="D48" s="8">
        <v>3.84</v>
      </c>
      <c r="E48" s="12">
        <v>27</v>
      </c>
      <c r="F48" s="8">
        <v>9</v>
      </c>
      <c r="G48" s="12">
        <v>1</v>
      </c>
      <c r="H48" s="8">
        <v>0.24</v>
      </c>
      <c r="I48" s="12">
        <v>0</v>
      </c>
    </row>
    <row r="49" spans="2:9" ht="15" customHeight="1" x14ac:dyDescent="0.2">
      <c r="B49" t="s">
        <v>174</v>
      </c>
      <c r="C49" s="12">
        <v>27</v>
      </c>
      <c r="D49" s="8">
        <v>3.7</v>
      </c>
      <c r="E49" s="12">
        <v>24</v>
      </c>
      <c r="F49" s="8">
        <v>8</v>
      </c>
      <c r="G49" s="12">
        <v>3</v>
      </c>
      <c r="H49" s="8">
        <v>0.72</v>
      </c>
      <c r="I49" s="12">
        <v>0</v>
      </c>
    </row>
    <row r="50" spans="2:9" ht="15" customHeight="1" x14ac:dyDescent="0.2">
      <c r="B50" t="s">
        <v>161</v>
      </c>
      <c r="C50" s="12">
        <v>26</v>
      </c>
      <c r="D50" s="8">
        <v>3.56</v>
      </c>
      <c r="E50" s="12">
        <v>4</v>
      </c>
      <c r="F50" s="8">
        <v>1.33</v>
      </c>
      <c r="G50" s="12">
        <v>22</v>
      </c>
      <c r="H50" s="8">
        <v>5.29</v>
      </c>
      <c r="I50" s="12">
        <v>0</v>
      </c>
    </row>
    <row r="51" spans="2:9" ht="15" customHeight="1" x14ac:dyDescent="0.2">
      <c r="B51" t="s">
        <v>172</v>
      </c>
      <c r="C51" s="12">
        <v>23</v>
      </c>
      <c r="D51" s="8">
        <v>3.15</v>
      </c>
      <c r="E51" s="12">
        <v>22</v>
      </c>
      <c r="F51" s="8">
        <v>7.33</v>
      </c>
      <c r="G51" s="12">
        <v>1</v>
      </c>
      <c r="H51" s="8">
        <v>0.24</v>
      </c>
      <c r="I51" s="12">
        <v>0</v>
      </c>
    </row>
    <row r="52" spans="2:9" ht="15" customHeight="1" x14ac:dyDescent="0.2">
      <c r="B52" t="s">
        <v>163</v>
      </c>
      <c r="C52" s="12">
        <v>21</v>
      </c>
      <c r="D52" s="8">
        <v>2.88</v>
      </c>
      <c r="E52" s="12">
        <v>5</v>
      </c>
      <c r="F52" s="8">
        <v>1.67</v>
      </c>
      <c r="G52" s="12">
        <v>16</v>
      </c>
      <c r="H52" s="8">
        <v>3.85</v>
      </c>
      <c r="I52" s="12">
        <v>0</v>
      </c>
    </row>
    <row r="53" spans="2:9" ht="15" customHeight="1" x14ac:dyDescent="0.2">
      <c r="B53" t="s">
        <v>175</v>
      </c>
      <c r="C53" s="12">
        <v>21</v>
      </c>
      <c r="D53" s="8">
        <v>2.88</v>
      </c>
      <c r="E53" s="12">
        <v>18</v>
      </c>
      <c r="F53" s="8">
        <v>6</v>
      </c>
      <c r="G53" s="12">
        <v>3</v>
      </c>
      <c r="H53" s="8">
        <v>0.72</v>
      </c>
      <c r="I53" s="12">
        <v>0</v>
      </c>
    </row>
    <row r="54" spans="2:9" ht="15" customHeight="1" x14ac:dyDescent="0.2">
      <c r="B54" t="s">
        <v>167</v>
      </c>
      <c r="C54" s="12">
        <v>18</v>
      </c>
      <c r="D54" s="8">
        <v>2.4700000000000002</v>
      </c>
      <c r="E54" s="12">
        <v>6</v>
      </c>
      <c r="F54" s="8">
        <v>2</v>
      </c>
      <c r="G54" s="12">
        <v>12</v>
      </c>
      <c r="H54" s="8">
        <v>2.88</v>
      </c>
      <c r="I54" s="12">
        <v>0</v>
      </c>
    </row>
    <row r="55" spans="2:9" ht="15" customHeight="1" x14ac:dyDescent="0.2">
      <c r="B55" t="s">
        <v>169</v>
      </c>
      <c r="C55" s="12">
        <v>18</v>
      </c>
      <c r="D55" s="8">
        <v>2.4700000000000002</v>
      </c>
      <c r="E55" s="12">
        <v>16</v>
      </c>
      <c r="F55" s="8">
        <v>5.33</v>
      </c>
      <c r="G55" s="12">
        <v>2</v>
      </c>
      <c r="H55" s="8">
        <v>0.48</v>
      </c>
      <c r="I55" s="12">
        <v>0</v>
      </c>
    </row>
    <row r="56" spans="2:9" ht="15" customHeight="1" x14ac:dyDescent="0.2">
      <c r="B56" t="s">
        <v>160</v>
      </c>
      <c r="C56" s="12">
        <v>17</v>
      </c>
      <c r="D56" s="8">
        <v>2.33</v>
      </c>
      <c r="E56" s="12">
        <v>3</v>
      </c>
      <c r="F56" s="8">
        <v>1</v>
      </c>
      <c r="G56" s="12">
        <v>14</v>
      </c>
      <c r="H56" s="8">
        <v>3.37</v>
      </c>
      <c r="I56" s="12">
        <v>0</v>
      </c>
    </row>
    <row r="57" spans="2:9" ht="15" customHeight="1" x14ac:dyDescent="0.2">
      <c r="B57" t="s">
        <v>177</v>
      </c>
      <c r="C57" s="12">
        <v>14</v>
      </c>
      <c r="D57" s="8">
        <v>1.92</v>
      </c>
      <c r="E57" s="12">
        <v>4</v>
      </c>
      <c r="F57" s="8">
        <v>1.33</v>
      </c>
      <c r="G57" s="12">
        <v>10</v>
      </c>
      <c r="H57" s="8">
        <v>2.4</v>
      </c>
      <c r="I57" s="12">
        <v>0</v>
      </c>
    </row>
    <row r="58" spans="2:9" ht="15" customHeight="1" x14ac:dyDescent="0.2">
      <c r="B58" t="s">
        <v>179</v>
      </c>
      <c r="C58" s="12">
        <v>14</v>
      </c>
      <c r="D58" s="8">
        <v>1.92</v>
      </c>
      <c r="E58" s="12">
        <v>8</v>
      </c>
      <c r="F58" s="8">
        <v>2.67</v>
      </c>
      <c r="G58" s="12">
        <v>6</v>
      </c>
      <c r="H58" s="8">
        <v>1.44</v>
      </c>
      <c r="I58" s="12">
        <v>0</v>
      </c>
    </row>
    <row r="59" spans="2:9" ht="15" customHeight="1" x14ac:dyDescent="0.2">
      <c r="B59" t="s">
        <v>176</v>
      </c>
      <c r="C59" s="12">
        <v>14</v>
      </c>
      <c r="D59" s="8">
        <v>1.92</v>
      </c>
      <c r="E59" s="12">
        <v>6</v>
      </c>
      <c r="F59" s="8">
        <v>2</v>
      </c>
      <c r="G59" s="12">
        <v>8</v>
      </c>
      <c r="H59" s="8">
        <v>1.92</v>
      </c>
      <c r="I59" s="12">
        <v>0</v>
      </c>
    </row>
    <row r="60" spans="2:9" ht="15" customHeight="1" x14ac:dyDescent="0.2">
      <c r="B60" t="s">
        <v>157</v>
      </c>
      <c r="C60" s="12">
        <v>13</v>
      </c>
      <c r="D60" s="8">
        <v>1.78</v>
      </c>
      <c r="E60" s="12">
        <v>0</v>
      </c>
      <c r="F60" s="8">
        <v>0</v>
      </c>
      <c r="G60" s="12">
        <v>13</v>
      </c>
      <c r="H60" s="8">
        <v>3.13</v>
      </c>
      <c r="I60" s="12">
        <v>0</v>
      </c>
    </row>
    <row r="61" spans="2:9" ht="15" customHeight="1" x14ac:dyDescent="0.2">
      <c r="B61" t="s">
        <v>197</v>
      </c>
      <c r="C61" s="12">
        <v>13</v>
      </c>
      <c r="D61" s="8">
        <v>1.78</v>
      </c>
      <c r="E61" s="12">
        <v>7</v>
      </c>
      <c r="F61" s="8">
        <v>2.33</v>
      </c>
      <c r="G61" s="12">
        <v>6</v>
      </c>
      <c r="H61" s="8">
        <v>1.44</v>
      </c>
      <c r="I61" s="12">
        <v>0</v>
      </c>
    </row>
    <row r="62" spans="2:9" ht="15" customHeight="1" x14ac:dyDescent="0.2">
      <c r="B62" t="s">
        <v>200</v>
      </c>
      <c r="C62" s="12">
        <v>13</v>
      </c>
      <c r="D62" s="8">
        <v>1.78</v>
      </c>
      <c r="E62" s="12">
        <v>4</v>
      </c>
      <c r="F62" s="8">
        <v>1.33</v>
      </c>
      <c r="G62" s="12">
        <v>9</v>
      </c>
      <c r="H62" s="8">
        <v>2.16</v>
      </c>
      <c r="I62" s="12">
        <v>0</v>
      </c>
    </row>
    <row r="63" spans="2:9" ht="15" customHeight="1" x14ac:dyDescent="0.2">
      <c r="B63" t="s">
        <v>158</v>
      </c>
      <c r="C63" s="12">
        <v>12</v>
      </c>
      <c r="D63" s="8">
        <v>1.64</v>
      </c>
      <c r="E63" s="12">
        <v>0</v>
      </c>
      <c r="F63" s="8">
        <v>0</v>
      </c>
      <c r="G63" s="12">
        <v>12</v>
      </c>
      <c r="H63" s="8">
        <v>2.88</v>
      </c>
      <c r="I63" s="12">
        <v>0</v>
      </c>
    </row>
    <row r="64" spans="2:9" ht="15" customHeight="1" x14ac:dyDescent="0.2">
      <c r="B64" t="s">
        <v>196</v>
      </c>
      <c r="C64" s="12">
        <v>12</v>
      </c>
      <c r="D64" s="8">
        <v>1.64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162</v>
      </c>
      <c r="C65" s="12">
        <v>11</v>
      </c>
      <c r="D65" s="8">
        <v>1.51</v>
      </c>
      <c r="E65" s="12">
        <v>7</v>
      </c>
      <c r="F65" s="8">
        <v>2.33</v>
      </c>
      <c r="G65" s="12">
        <v>4</v>
      </c>
      <c r="H65" s="8">
        <v>0.96</v>
      </c>
      <c r="I65" s="12">
        <v>0</v>
      </c>
    </row>
    <row r="66" spans="2:9" ht="15" customHeight="1" x14ac:dyDescent="0.2">
      <c r="B66" t="s">
        <v>159</v>
      </c>
      <c r="C66" s="12">
        <v>10</v>
      </c>
      <c r="D66" s="8">
        <v>1.37</v>
      </c>
      <c r="E66" s="12">
        <v>5</v>
      </c>
      <c r="F66" s="8">
        <v>1.67</v>
      </c>
      <c r="G66" s="12">
        <v>5</v>
      </c>
      <c r="H66" s="8">
        <v>1.2</v>
      </c>
      <c r="I66" s="12">
        <v>0</v>
      </c>
    </row>
    <row r="67" spans="2:9" ht="15" customHeight="1" x14ac:dyDescent="0.2">
      <c r="B67" t="s">
        <v>182</v>
      </c>
      <c r="C67" s="12">
        <v>9</v>
      </c>
      <c r="D67" s="8">
        <v>1.23</v>
      </c>
      <c r="E67" s="12">
        <v>3</v>
      </c>
      <c r="F67" s="8">
        <v>1</v>
      </c>
      <c r="G67" s="12">
        <v>6</v>
      </c>
      <c r="H67" s="8">
        <v>1.44</v>
      </c>
      <c r="I67" s="12">
        <v>0</v>
      </c>
    </row>
    <row r="68" spans="2:9" ht="15" customHeight="1" x14ac:dyDescent="0.2">
      <c r="B68" t="s">
        <v>188</v>
      </c>
      <c r="C68" s="12">
        <v>9</v>
      </c>
      <c r="D68" s="8">
        <v>1.23</v>
      </c>
      <c r="E68" s="12">
        <v>8</v>
      </c>
      <c r="F68" s="8">
        <v>2.67</v>
      </c>
      <c r="G68" s="12">
        <v>1</v>
      </c>
      <c r="H68" s="8">
        <v>0.24</v>
      </c>
      <c r="I68" s="12">
        <v>0</v>
      </c>
    </row>
    <row r="69" spans="2:9" ht="15" customHeight="1" x14ac:dyDescent="0.2">
      <c r="B69" t="s">
        <v>168</v>
      </c>
      <c r="C69" s="12">
        <v>9</v>
      </c>
      <c r="D69" s="8">
        <v>1.23</v>
      </c>
      <c r="E69" s="12">
        <v>0</v>
      </c>
      <c r="F69" s="8">
        <v>0</v>
      </c>
      <c r="G69" s="12">
        <v>9</v>
      </c>
      <c r="H69" s="8">
        <v>2.16</v>
      </c>
      <c r="I69" s="12">
        <v>0</v>
      </c>
    </row>
    <row r="70" spans="2:9" ht="15" customHeight="1" x14ac:dyDescent="0.2">
      <c r="B70" t="s">
        <v>178</v>
      </c>
      <c r="C70" s="12">
        <v>9</v>
      </c>
      <c r="D70" s="8">
        <v>1.23</v>
      </c>
      <c r="E70" s="12">
        <v>4</v>
      </c>
      <c r="F70" s="8">
        <v>1.33</v>
      </c>
      <c r="G70" s="12">
        <v>5</v>
      </c>
      <c r="H70" s="8">
        <v>1.2</v>
      </c>
      <c r="I70" s="12">
        <v>0</v>
      </c>
    </row>
    <row r="71" spans="2:9" ht="15" customHeight="1" x14ac:dyDescent="0.2">
      <c r="B71" t="s">
        <v>170</v>
      </c>
      <c r="C71" s="12">
        <v>9</v>
      </c>
      <c r="D71" s="8">
        <v>1.23</v>
      </c>
      <c r="E71" s="12">
        <v>9</v>
      </c>
      <c r="F71" s="8">
        <v>3</v>
      </c>
      <c r="G71" s="12">
        <v>0</v>
      </c>
      <c r="H71" s="8">
        <v>0</v>
      </c>
      <c r="I71" s="12">
        <v>0</v>
      </c>
    </row>
    <row r="73" spans="2:9" ht="15" customHeight="1" x14ac:dyDescent="0.2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75933-C9AC-4960-96CE-4408A57AB2A5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324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151</v>
      </c>
      <c r="D6" s="8">
        <v>19.04</v>
      </c>
      <c r="E6" s="12">
        <v>19</v>
      </c>
      <c r="F6" s="8">
        <v>10.8</v>
      </c>
      <c r="G6" s="12">
        <v>132</v>
      </c>
      <c r="H6" s="8">
        <v>21.71</v>
      </c>
      <c r="I6" s="12">
        <v>0</v>
      </c>
    </row>
    <row r="7" spans="2:9" ht="15" customHeight="1" x14ac:dyDescent="0.2">
      <c r="B7" t="s">
        <v>76</v>
      </c>
      <c r="C7" s="12">
        <v>182</v>
      </c>
      <c r="D7" s="8">
        <v>22.95</v>
      </c>
      <c r="E7" s="12">
        <v>31</v>
      </c>
      <c r="F7" s="8">
        <v>17.61</v>
      </c>
      <c r="G7" s="12">
        <v>151</v>
      </c>
      <c r="H7" s="8">
        <v>24.84</v>
      </c>
      <c r="I7" s="12">
        <v>0</v>
      </c>
    </row>
    <row r="8" spans="2:9" ht="15" customHeight="1" x14ac:dyDescent="0.2">
      <c r="B8" t="s">
        <v>77</v>
      </c>
      <c r="C8" s="12">
        <v>1</v>
      </c>
      <c r="D8" s="8">
        <v>0.13</v>
      </c>
      <c r="E8" s="12">
        <v>0</v>
      </c>
      <c r="F8" s="8">
        <v>0</v>
      </c>
      <c r="G8" s="12">
        <v>1</v>
      </c>
      <c r="H8" s="8">
        <v>0.16</v>
      </c>
      <c r="I8" s="12">
        <v>0</v>
      </c>
    </row>
    <row r="9" spans="2:9" ht="15" customHeight="1" x14ac:dyDescent="0.2">
      <c r="B9" t="s">
        <v>78</v>
      </c>
      <c r="C9" s="12">
        <v>7</v>
      </c>
      <c r="D9" s="8">
        <v>0.88</v>
      </c>
      <c r="E9" s="12">
        <v>0</v>
      </c>
      <c r="F9" s="8">
        <v>0</v>
      </c>
      <c r="G9" s="12">
        <v>7</v>
      </c>
      <c r="H9" s="8">
        <v>1.1499999999999999</v>
      </c>
      <c r="I9" s="12">
        <v>0</v>
      </c>
    </row>
    <row r="10" spans="2:9" ht="15" customHeight="1" x14ac:dyDescent="0.2">
      <c r="B10" t="s">
        <v>79</v>
      </c>
      <c r="C10" s="12">
        <v>21</v>
      </c>
      <c r="D10" s="8">
        <v>2.65</v>
      </c>
      <c r="E10" s="12">
        <v>0</v>
      </c>
      <c r="F10" s="8">
        <v>0</v>
      </c>
      <c r="G10" s="12">
        <v>21</v>
      </c>
      <c r="H10" s="8">
        <v>3.45</v>
      </c>
      <c r="I10" s="12">
        <v>0</v>
      </c>
    </row>
    <row r="11" spans="2:9" ht="15" customHeight="1" x14ac:dyDescent="0.2">
      <c r="B11" t="s">
        <v>80</v>
      </c>
      <c r="C11" s="12">
        <v>118</v>
      </c>
      <c r="D11" s="8">
        <v>14.88</v>
      </c>
      <c r="E11" s="12">
        <v>27</v>
      </c>
      <c r="F11" s="8">
        <v>15.34</v>
      </c>
      <c r="G11" s="12">
        <v>91</v>
      </c>
      <c r="H11" s="8">
        <v>14.97</v>
      </c>
      <c r="I11" s="12">
        <v>0</v>
      </c>
    </row>
    <row r="12" spans="2:9" ht="15" customHeight="1" x14ac:dyDescent="0.2">
      <c r="B12" t="s">
        <v>81</v>
      </c>
      <c r="C12" s="12">
        <v>3</v>
      </c>
      <c r="D12" s="8">
        <v>0.38</v>
      </c>
      <c r="E12" s="12">
        <v>0</v>
      </c>
      <c r="F12" s="8">
        <v>0</v>
      </c>
      <c r="G12" s="12">
        <v>3</v>
      </c>
      <c r="H12" s="8">
        <v>0.49</v>
      </c>
      <c r="I12" s="12">
        <v>0</v>
      </c>
    </row>
    <row r="13" spans="2:9" ht="15" customHeight="1" x14ac:dyDescent="0.2">
      <c r="B13" t="s">
        <v>82</v>
      </c>
      <c r="C13" s="12">
        <v>127</v>
      </c>
      <c r="D13" s="8">
        <v>16.02</v>
      </c>
      <c r="E13" s="12">
        <v>6</v>
      </c>
      <c r="F13" s="8">
        <v>3.41</v>
      </c>
      <c r="G13" s="12">
        <v>120</v>
      </c>
      <c r="H13" s="8">
        <v>19.739999999999998</v>
      </c>
      <c r="I13" s="12">
        <v>1</v>
      </c>
    </row>
    <row r="14" spans="2:9" ht="15" customHeight="1" x14ac:dyDescent="0.2">
      <c r="B14" t="s">
        <v>83</v>
      </c>
      <c r="C14" s="12">
        <v>19</v>
      </c>
      <c r="D14" s="8">
        <v>2.4</v>
      </c>
      <c r="E14" s="12">
        <v>8</v>
      </c>
      <c r="F14" s="8">
        <v>4.55</v>
      </c>
      <c r="G14" s="12">
        <v>11</v>
      </c>
      <c r="H14" s="8">
        <v>1.81</v>
      </c>
      <c r="I14" s="12">
        <v>0</v>
      </c>
    </row>
    <row r="15" spans="2:9" ht="15" customHeight="1" x14ac:dyDescent="0.2">
      <c r="B15" t="s">
        <v>84</v>
      </c>
      <c r="C15" s="12">
        <v>34</v>
      </c>
      <c r="D15" s="8">
        <v>4.29</v>
      </c>
      <c r="E15" s="12">
        <v>22</v>
      </c>
      <c r="F15" s="8">
        <v>12.5</v>
      </c>
      <c r="G15" s="12">
        <v>12</v>
      </c>
      <c r="H15" s="8">
        <v>1.97</v>
      </c>
      <c r="I15" s="12">
        <v>0</v>
      </c>
    </row>
    <row r="16" spans="2:9" ht="15" customHeight="1" x14ac:dyDescent="0.2">
      <c r="B16" t="s">
        <v>85</v>
      </c>
      <c r="C16" s="12">
        <v>50</v>
      </c>
      <c r="D16" s="8">
        <v>6.31</v>
      </c>
      <c r="E16" s="12">
        <v>35</v>
      </c>
      <c r="F16" s="8">
        <v>19.89</v>
      </c>
      <c r="G16" s="12">
        <v>15</v>
      </c>
      <c r="H16" s="8">
        <v>2.4700000000000002</v>
      </c>
      <c r="I16" s="12">
        <v>0</v>
      </c>
    </row>
    <row r="17" spans="2:9" ht="15" customHeight="1" x14ac:dyDescent="0.2">
      <c r="B17" t="s">
        <v>86</v>
      </c>
      <c r="C17" s="12">
        <v>19</v>
      </c>
      <c r="D17" s="8">
        <v>2.4</v>
      </c>
      <c r="E17" s="12">
        <v>10</v>
      </c>
      <c r="F17" s="8">
        <v>5.68</v>
      </c>
      <c r="G17" s="12">
        <v>6</v>
      </c>
      <c r="H17" s="8">
        <v>0.99</v>
      </c>
      <c r="I17" s="12">
        <v>0</v>
      </c>
    </row>
    <row r="18" spans="2:9" ht="15" customHeight="1" x14ac:dyDescent="0.2">
      <c r="B18" t="s">
        <v>87</v>
      </c>
      <c r="C18" s="12">
        <v>26</v>
      </c>
      <c r="D18" s="8">
        <v>3.28</v>
      </c>
      <c r="E18" s="12">
        <v>12</v>
      </c>
      <c r="F18" s="8">
        <v>6.82</v>
      </c>
      <c r="G18" s="12">
        <v>9</v>
      </c>
      <c r="H18" s="8">
        <v>1.48</v>
      </c>
      <c r="I18" s="12">
        <v>0</v>
      </c>
    </row>
    <row r="19" spans="2:9" ht="15" customHeight="1" x14ac:dyDescent="0.2">
      <c r="B19" t="s">
        <v>88</v>
      </c>
      <c r="C19" s="12">
        <v>35</v>
      </c>
      <c r="D19" s="8">
        <v>4.41</v>
      </c>
      <c r="E19" s="12">
        <v>6</v>
      </c>
      <c r="F19" s="8">
        <v>3.41</v>
      </c>
      <c r="G19" s="12">
        <v>29</v>
      </c>
      <c r="H19" s="8">
        <v>4.7699999999999996</v>
      </c>
      <c r="I19" s="12">
        <v>0</v>
      </c>
    </row>
    <row r="20" spans="2:9" ht="15" customHeight="1" x14ac:dyDescent="0.2">
      <c r="B20" s="9" t="s">
        <v>269</v>
      </c>
      <c r="C20" s="12">
        <f>SUM(LTBL_11324[総数／事業所数])</f>
        <v>793</v>
      </c>
      <c r="E20" s="12">
        <f>SUBTOTAL(109,LTBL_11324[個人／事業所数])</f>
        <v>176</v>
      </c>
      <c r="G20" s="12">
        <f>SUBTOTAL(109,LTBL_11324[法人／事業所数])</f>
        <v>608</v>
      </c>
      <c r="I20" s="12">
        <f>SUBTOTAL(109,LTBL_11324[法人以外の団体／事業所数])</f>
        <v>1</v>
      </c>
    </row>
    <row r="21" spans="2:9" ht="15" customHeight="1" x14ac:dyDescent="0.2">
      <c r="E21" s="11">
        <f>LTBL_11324[[#Totals],[個人／事業所数]]/LTBL_11324[[#Totals],[総数／事業所数]]</f>
        <v>0.22194199243379573</v>
      </c>
      <c r="G21" s="11">
        <f>LTBL_11324[[#Totals],[法人／事業所数]]/LTBL_11324[[#Totals],[総数／事業所数]]</f>
        <v>0.76670870113493061</v>
      </c>
      <c r="I21" s="11">
        <f>LTBL_11324[[#Totals],[法人以外の団体／事業所数]]/LTBL_11324[[#Totals],[総数／事業所数]]</f>
        <v>1.2610340479192938E-3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108</v>
      </c>
      <c r="C24" s="12">
        <v>115</v>
      </c>
      <c r="D24" s="8">
        <v>14.5</v>
      </c>
      <c r="E24" s="12">
        <v>5</v>
      </c>
      <c r="F24" s="8">
        <v>2.84</v>
      </c>
      <c r="G24" s="12">
        <v>110</v>
      </c>
      <c r="H24" s="8">
        <v>18.09</v>
      </c>
      <c r="I24" s="12">
        <v>0</v>
      </c>
    </row>
    <row r="25" spans="2:9" ht="15" customHeight="1" x14ac:dyDescent="0.2">
      <c r="B25" t="s">
        <v>98</v>
      </c>
      <c r="C25" s="12">
        <v>63</v>
      </c>
      <c r="D25" s="8">
        <v>7.94</v>
      </c>
      <c r="E25" s="12">
        <v>9</v>
      </c>
      <c r="F25" s="8">
        <v>5.1100000000000003</v>
      </c>
      <c r="G25" s="12">
        <v>54</v>
      </c>
      <c r="H25" s="8">
        <v>8.8800000000000008</v>
      </c>
      <c r="I25" s="12">
        <v>0</v>
      </c>
    </row>
    <row r="26" spans="2:9" ht="15" customHeight="1" x14ac:dyDescent="0.2">
      <c r="B26" t="s">
        <v>97</v>
      </c>
      <c r="C26" s="12">
        <v>48</v>
      </c>
      <c r="D26" s="8">
        <v>6.05</v>
      </c>
      <c r="E26" s="12">
        <v>9</v>
      </c>
      <c r="F26" s="8">
        <v>5.1100000000000003</v>
      </c>
      <c r="G26" s="12">
        <v>39</v>
      </c>
      <c r="H26" s="8">
        <v>6.41</v>
      </c>
      <c r="I26" s="12">
        <v>0</v>
      </c>
    </row>
    <row r="27" spans="2:9" ht="15" customHeight="1" x14ac:dyDescent="0.2">
      <c r="B27" t="s">
        <v>99</v>
      </c>
      <c r="C27" s="12">
        <v>40</v>
      </c>
      <c r="D27" s="8">
        <v>5.04</v>
      </c>
      <c r="E27" s="12">
        <v>1</v>
      </c>
      <c r="F27" s="8">
        <v>0.56999999999999995</v>
      </c>
      <c r="G27" s="12">
        <v>39</v>
      </c>
      <c r="H27" s="8">
        <v>6.41</v>
      </c>
      <c r="I27" s="12">
        <v>0</v>
      </c>
    </row>
    <row r="28" spans="2:9" ht="15" customHeight="1" x14ac:dyDescent="0.2">
      <c r="B28" t="s">
        <v>112</v>
      </c>
      <c r="C28" s="12">
        <v>39</v>
      </c>
      <c r="D28" s="8">
        <v>4.92</v>
      </c>
      <c r="E28" s="12">
        <v>33</v>
      </c>
      <c r="F28" s="8">
        <v>18.75</v>
      </c>
      <c r="G28" s="12">
        <v>6</v>
      </c>
      <c r="H28" s="8">
        <v>0.99</v>
      </c>
      <c r="I28" s="12">
        <v>0</v>
      </c>
    </row>
    <row r="29" spans="2:9" ht="15" customHeight="1" x14ac:dyDescent="0.2">
      <c r="B29" t="s">
        <v>106</v>
      </c>
      <c r="C29" s="12">
        <v>28</v>
      </c>
      <c r="D29" s="8">
        <v>3.53</v>
      </c>
      <c r="E29" s="12">
        <v>10</v>
      </c>
      <c r="F29" s="8">
        <v>5.68</v>
      </c>
      <c r="G29" s="12">
        <v>18</v>
      </c>
      <c r="H29" s="8">
        <v>2.96</v>
      </c>
      <c r="I29" s="12">
        <v>0</v>
      </c>
    </row>
    <row r="30" spans="2:9" ht="15" customHeight="1" x14ac:dyDescent="0.2">
      <c r="B30" t="s">
        <v>111</v>
      </c>
      <c r="C30" s="12">
        <v>28</v>
      </c>
      <c r="D30" s="8">
        <v>3.53</v>
      </c>
      <c r="E30" s="12">
        <v>22</v>
      </c>
      <c r="F30" s="8">
        <v>12.5</v>
      </c>
      <c r="G30" s="12">
        <v>6</v>
      </c>
      <c r="H30" s="8">
        <v>0.99</v>
      </c>
      <c r="I30" s="12">
        <v>0</v>
      </c>
    </row>
    <row r="31" spans="2:9" ht="15" customHeight="1" x14ac:dyDescent="0.2">
      <c r="B31" t="s">
        <v>120</v>
      </c>
      <c r="C31" s="12">
        <v>26</v>
      </c>
      <c r="D31" s="8">
        <v>3.28</v>
      </c>
      <c r="E31" s="12">
        <v>3</v>
      </c>
      <c r="F31" s="8">
        <v>1.7</v>
      </c>
      <c r="G31" s="12">
        <v>23</v>
      </c>
      <c r="H31" s="8">
        <v>3.78</v>
      </c>
      <c r="I31" s="12">
        <v>0</v>
      </c>
    </row>
    <row r="32" spans="2:9" ht="15" customHeight="1" x14ac:dyDescent="0.2">
      <c r="B32" t="s">
        <v>100</v>
      </c>
      <c r="C32" s="12">
        <v>25</v>
      </c>
      <c r="D32" s="8">
        <v>3.15</v>
      </c>
      <c r="E32" s="12">
        <v>2</v>
      </c>
      <c r="F32" s="8">
        <v>1.1399999999999999</v>
      </c>
      <c r="G32" s="12">
        <v>23</v>
      </c>
      <c r="H32" s="8">
        <v>3.78</v>
      </c>
      <c r="I32" s="12">
        <v>0</v>
      </c>
    </row>
    <row r="33" spans="2:9" ht="15" customHeight="1" x14ac:dyDescent="0.2">
      <c r="B33" t="s">
        <v>128</v>
      </c>
      <c r="C33" s="12">
        <v>23</v>
      </c>
      <c r="D33" s="8">
        <v>2.9</v>
      </c>
      <c r="E33" s="12">
        <v>6</v>
      </c>
      <c r="F33" s="8">
        <v>3.41</v>
      </c>
      <c r="G33" s="12">
        <v>17</v>
      </c>
      <c r="H33" s="8">
        <v>2.8</v>
      </c>
      <c r="I33" s="12">
        <v>0</v>
      </c>
    </row>
    <row r="34" spans="2:9" ht="15" customHeight="1" x14ac:dyDescent="0.2">
      <c r="B34" t="s">
        <v>105</v>
      </c>
      <c r="C34" s="12">
        <v>23</v>
      </c>
      <c r="D34" s="8">
        <v>2.9</v>
      </c>
      <c r="E34" s="12">
        <v>8</v>
      </c>
      <c r="F34" s="8">
        <v>4.55</v>
      </c>
      <c r="G34" s="12">
        <v>15</v>
      </c>
      <c r="H34" s="8">
        <v>2.4700000000000002</v>
      </c>
      <c r="I34" s="12">
        <v>0</v>
      </c>
    </row>
    <row r="35" spans="2:9" ht="15" customHeight="1" x14ac:dyDescent="0.2">
      <c r="B35" t="s">
        <v>114</v>
      </c>
      <c r="C35" s="12">
        <v>19</v>
      </c>
      <c r="D35" s="8">
        <v>2.4</v>
      </c>
      <c r="E35" s="12">
        <v>10</v>
      </c>
      <c r="F35" s="8">
        <v>5.68</v>
      </c>
      <c r="G35" s="12">
        <v>6</v>
      </c>
      <c r="H35" s="8">
        <v>0.99</v>
      </c>
      <c r="I35" s="12">
        <v>0</v>
      </c>
    </row>
    <row r="36" spans="2:9" ht="15" customHeight="1" x14ac:dyDescent="0.2">
      <c r="B36" t="s">
        <v>130</v>
      </c>
      <c r="C36" s="12">
        <v>18</v>
      </c>
      <c r="D36" s="8">
        <v>2.27</v>
      </c>
      <c r="E36" s="12">
        <v>3</v>
      </c>
      <c r="F36" s="8">
        <v>1.7</v>
      </c>
      <c r="G36" s="12">
        <v>15</v>
      </c>
      <c r="H36" s="8">
        <v>2.4700000000000002</v>
      </c>
      <c r="I36" s="12">
        <v>0</v>
      </c>
    </row>
    <row r="37" spans="2:9" ht="15" customHeight="1" x14ac:dyDescent="0.2">
      <c r="B37" t="s">
        <v>116</v>
      </c>
      <c r="C37" s="12">
        <v>18</v>
      </c>
      <c r="D37" s="8">
        <v>2.27</v>
      </c>
      <c r="E37" s="12">
        <v>6</v>
      </c>
      <c r="F37" s="8">
        <v>3.41</v>
      </c>
      <c r="G37" s="12">
        <v>12</v>
      </c>
      <c r="H37" s="8">
        <v>1.97</v>
      </c>
      <c r="I37" s="12">
        <v>0</v>
      </c>
    </row>
    <row r="38" spans="2:9" ht="15" customHeight="1" x14ac:dyDescent="0.2">
      <c r="B38" t="s">
        <v>131</v>
      </c>
      <c r="C38" s="12">
        <v>16</v>
      </c>
      <c r="D38" s="8">
        <v>2.02</v>
      </c>
      <c r="E38" s="12">
        <v>1</v>
      </c>
      <c r="F38" s="8">
        <v>0.56999999999999995</v>
      </c>
      <c r="G38" s="12">
        <v>15</v>
      </c>
      <c r="H38" s="8">
        <v>2.4700000000000002</v>
      </c>
      <c r="I38" s="12">
        <v>0</v>
      </c>
    </row>
    <row r="39" spans="2:9" ht="15" customHeight="1" x14ac:dyDescent="0.2">
      <c r="B39" t="s">
        <v>102</v>
      </c>
      <c r="C39" s="12">
        <v>15</v>
      </c>
      <c r="D39" s="8">
        <v>1.89</v>
      </c>
      <c r="E39" s="12">
        <v>1</v>
      </c>
      <c r="F39" s="8">
        <v>0.56999999999999995</v>
      </c>
      <c r="G39" s="12">
        <v>14</v>
      </c>
      <c r="H39" s="8">
        <v>2.2999999999999998</v>
      </c>
      <c r="I39" s="12">
        <v>0</v>
      </c>
    </row>
    <row r="40" spans="2:9" ht="15" customHeight="1" x14ac:dyDescent="0.2">
      <c r="B40" t="s">
        <v>101</v>
      </c>
      <c r="C40" s="12">
        <v>13</v>
      </c>
      <c r="D40" s="8">
        <v>1.64</v>
      </c>
      <c r="E40" s="12">
        <v>1</v>
      </c>
      <c r="F40" s="8">
        <v>0.56999999999999995</v>
      </c>
      <c r="G40" s="12">
        <v>12</v>
      </c>
      <c r="H40" s="8">
        <v>1.97</v>
      </c>
      <c r="I40" s="12">
        <v>0</v>
      </c>
    </row>
    <row r="41" spans="2:9" ht="15" customHeight="1" x14ac:dyDescent="0.2">
      <c r="B41" t="s">
        <v>115</v>
      </c>
      <c r="C41" s="12">
        <v>13</v>
      </c>
      <c r="D41" s="8">
        <v>1.64</v>
      </c>
      <c r="E41" s="12">
        <v>12</v>
      </c>
      <c r="F41" s="8">
        <v>6.82</v>
      </c>
      <c r="G41" s="12">
        <v>1</v>
      </c>
      <c r="H41" s="8">
        <v>0.16</v>
      </c>
      <c r="I41" s="12">
        <v>0</v>
      </c>
    </row>
    <row r="42" spans="2:9" ht="15" customHeight="1" x14ac:dyDescent="0.2">
      <c r="B42" t="s">
        <v>118</v>
      </c>
      <c r="C42" s="12">
        <v>13</v>
      </c>
      <c r="D42" s="8">
        <v>1.64</v>
      </c>
      <c r="E42" s="12">
        <v>0</v>
      </c>
      <c r="F42" s="8">
        <v>0</v>
      </c>
      <c r="G42" s="12">
        <v>8</v>
      </c>
      <c r="H42" s="8">
        <v>1.32</v>
      </c>
      <c r="I42" s="12">
        <v>0</v>
      </c>
    </row>
    <row r="43" spans="2:9" ht="15" customHeight="1" x14ac:dyDescent="0.2">
      <c r="B43" t="s">
        <v>119</v>
      </c>
      <c r="C43" s="12">
        <v>13</v>
      </c>
      <c r="D43" s="8">
        <v>1.64</v>
      </c>
      <c r="E43" s="12">
        <v>0</v>
      </c>
      <c r="F43" s="8">
        <v>0</v>
      </c>
      <c r="G43" s="12">
        <v>13</v>
      </c>
      <c r="H43" s="8">
        <v>2.14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166</v>
      </c>
      <c r="C47" s="12">
        <v>72</v>
      </c>
      <c r="D47" s="8">
        <v>9.08</v>
      </c>
      <c r="E47" s="12">
        <v>2</v>
      </c>
      <c r="F47" s="8">
        <v>1.1399999999999999</v>
      </c>
      <c r="G47" s="12">
        <v>70</v>
      </c>
      <c r="H47" s="8">
        <v>11.51</v>
      </c>
      <c r="I47" s="12">
        <v>0</v>
      </c>
    </row>
    <row r="48" spans="2:9" ht="15" customHeight="1" x14ac:dyDescent="0.2">
      <c r="B48" t="s">
        <v>182</v>
      </c>
      <c r="C48" s="12">
        <v>24</v>
      </c>
      <c r="D48" s="8">
        <v>3.03</v>
      </c>
      <c r="E48" s="12">
        <v>2</v>
      </c>
      <c r="F48" s="8">
        <v>1.1399999999999999</v>
      </c>
      <c r="G48" s="12">
        <v>22</v>
      </c>
      <c r="H48" s="8">
        <v>3.62</v>
      </c>
      <c r="I48" s="12">
        <v>0</v>
      </c>
    </row>
    <row r="49" spans="2:9" ht="15" customHeight="1" x14ac:dyDescent="0.2">
      <c r="B49" t="s">
        <v>161</v>
      </c>
      <c r="C49" s="12">
        <v>21</v>
      </c>
      <c r="D49" s="8">
        <v>2.65</v>
      </c>
      <c r="E49" s="12">
        <v>0</v>
      </c>
      <c r="F49" s="8">
        <v>0</v>
      </c>
      <c r="G49" s="12">
        <v>21</v>
      </c>
      <c r="H49" s="8">
        <v>3.45</v>
      </c>
      <c r="I49" s="12">
        <v>0</v>
      </c>
    </row>
    <row r="50" spans="2:9" ht="15" customHeight="1" x14ac:dyDescent="0.2">
      <c r="B50" t="s">
        <v>167</v>
      </c>
      <c r="C50" s="12">
        <v>21</v>
      </c>
      <c r="D50" s="8">
        <v>2.65</v>
      </c>
      <c r="E50" s="12">
        <v>1</v>
      </c>
      <c r="F50" s="8">
        <v>0.56999999999999995</v>
      </c>
      <c r="G50" s="12">
        <v>20</v>
      </c>
      <c r="H50" s="8">
        <v>3.29</v>
      </c>
      <c r="I50" s="12">
        <v>0</v>
      </c>
    </row>
    <row r="51" spans="2:9" ht="15" customHeight="1" x14ac:dyDescent="0.2">
      <c r="B51" t="s">
        <v>176</v>
      </c>
      <c r="C51" s="12">
        <v>18</v>
      </c>
      <c r="D51" s="8">
        <v>2.27</v>
      </c>
      <c r="E51" s="12">
        <v>6</v>
      </c>
      <c r="F51" s="8">
        <v>3.41</v>
      </c>
      <c r="G51" s="12">
        <v>12</v>
      </c>
      <c r="H51" s="8">
        <v>1.97</v>
      </c>
      <c r="I51" s="12">
        <v>0</v>
      </c>
    </row>
    <row r="52" spans="2:9" ht="15" customHeight="1" x14ac:dyDescent="0.2">
      <c r="B52" t="s">
        <v>157</v>
      </c>
      <c r="C52" s="12">
        <v>17</v>
      </c>
      <c r="D52" s="8">
        <v>2.14</v>
      </c>
      <c r="E52" s="12">
        <v>3</v>
      </c>
      <c r="F52" s="8">
        <v>1.7</v>
      </c>
      <c r="G52" s="12">
        <v>14</v>
      </c>
      <c r="H52" s="8">
        <v>2.2999999999999998</v>
      </c>
      <c r="I52" s="12">
        <v>0</v>
      </c>
    </row>
    <row r="53" spans="2:9" ht="15" customHeight="1" x14ac:dyDescent="0.2">
      <c r="B53" t="s">
        <v>168</v>
      </c>
      <c r="C53" s="12">
        <v>17</v>
      </c>
      <c r="D53" s="8">
        <v>2.14</v>
      </c>
      <c r="E53" s="12">
        <v>0</v>
      </c>
      <c r="F53" s="8">
        <v>0</v>
      </c>
      <c r="G53" s="12">
        <v>17</v>
      </c>
      <c r="H53" s="8">
        <v>2.8</v>
      </c>
      <c r="I53" s="12">
        <v>0</v>
      </c>
    </row>
    <row r="54" spans="2:9" ht="15" customHeight="1" x14ac:dyDescent="0.2">
      <c r="B54" t="s">
        <v>172</v>
      </c>
      <c r="C54" s="12">
        <v>16</v>
      </c>
      <c r="D54" s="8">
        <v>2.02</v>
      </c>
      <c r="E54" s="12">
        <v>14</v>
      </c>
      <c r="F54" s="8">
        <v>7.95</v>
      </c>
      <c r="G54" s="12">
        <v>2</v>
      </c>
      <c r="H54" s="8">
        <v>0.33</v>
      </c>
      <c r="I54" s="12">
        <v>0</v>
      </c>
    </row>
    <row r="55" spans="2:9" ht="15" customHeight="1" x14ac:dyDescent="0.2">
      <c r="B55" t="s">
        <v>173</v>
      </c>
      <c r="C55" s="12">
        <v>15</v>
      </c>
      <c r="D55" s="8">
        <v>1.89</v>
      </c>
      <c r="E55" s="12">
        <v>15</v>
      </c>
      <c r="F55" s="8">
        <v>8.52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210</v>
      </c>
      <c r="C56" s="12">
        <v>14</v>
      </c>
      <c r="D56" s="8">
        <v>1.77</v>
      </c>
      <c r="E56" s="12">
        <v>2</v>
      </c>
      <c r="F56" s="8">
        <v>1.1399999999999999</v>
      </c>
      <c r="G56" s="12">
        <v>12</v>
      </c>
      <c r="H56" s="8">
        <v>1.97</v>
      </c>
      <c r="I56" s="12">
        <v>0</v>
      </c>
    </row>
    <row r="57" spans="2:9" ht="15" customHeight="1" x14ac:dyDescent="0.2">
      <c r="B57" t="s">
        <v>160</v>
      </c>
      <c r="C57" s="12">
        <v>13</v>
      </c>
      <c r="D57" s="8">
        <v>1.64</v>
      </c>
      <c r="E57" s="12">
        <v>1</v>
      </c>
      <c r="F57" s="8">
        <v>0.56999999999999995</v>
      </c>
      <c r="G57" s="12">
        <v>12</v>
      </c>
      <c r="H57" s="8">
        <v>1.97</v>
      </c>
      <c r="I57" s="12">
        <v>0</v>
      </c>
    </row>
    <row r="58" spans="2:9" ht="15" customHeight="1" x14ac:dyDescent="0.2">
      <c r="B58" t="s">
        <v>163</v>
      </c>
      <c r="C58" s="12">
        <v>13</v>
      </c>
      <c r="D58" s="8">
        <v>1.64</v>
      </c>
      <c r="E58" s="12">
        <v>4</v>
      </c>
      <c r="F58" s="8">
        <v>2.27</v>
      </c>
      <c r="G58" s="12">
        <v>9</v>
      </c>
      <c r="H58" s="8">
        <v>1.48</v>
      </c>
      <c r="I58" s="12">
        <v>0</v>
      </c>
    </row>
    <row r="59" spans="2:9" ht="15" customHeight="1" x14ac:dyDescent="0.2">
      <c r="B59" t="s">
        <v>219</v>
      </c>
      <c r="C59" s="12">
        <v>12</v>
      </c>
      <c r="D59" s="8">
        <v>1.51</v>
      </c>
      <c r="E59" s="12">
        <v>3</v>
      </c>
      <c r="F59" s="8">
        <v>1.7</v>
      </c>
      <c r="G59" s="12">
        <v>9</v>
      </c>
      <c r="H59" s="8">
        <v>1.48</v>
      </c>
      <c r="I59" s="12">
        <v>0</v>
      </c>
    </row>
    <row r="60" spans="2:9" ht="15" customHeight="1" x14ac:dyDescent="0.2">
      <c r="B60" t="s">
        <v>175</v>
      </c>
      <c r="C60" s="12">
        <v>12</v>
      </c>
      <c r="D60" s="8">
        <v>1.51</v>
      </c>
      <c r="E60" s="12">
        <v>12</v>
      </c>
      <c r="F60" s="8">
        <v>6.82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177</v>
      </c>
      <c r="C61" s="12">
        <v>11</v>
      </c>
      <c r="D61" s="8">
        <v>1.39</v>
      </c>
      <c r="E61" s="12">
        <v>0</v>
      </c>
      <c r="F61" s="8">
        <v>0</v>
      </c>
      <c r="G61" s="12">
        <v>11</v>
      </c>
      <c r="H61" s="8">
        <v>1.81</v>
      </c>
      <c r="I61" s="12">
        <v>0</v>
      </c>
    </row>
    <row r="62" spans="2:9" ht="15" customHeight="1" x14ac:dyDescent="0.2">
      <c r="B62" t="s">
        <v>211</v>
      </c>
      <c r="C62" s="12">
        <v>11</v>
      </c>
      <c r="D62" s="8">
        <v>1.39</v>
      </c>
      <c r="E62" s="12">
        <v>1</v>
      </c>
      <c r="F62" s="8">
        <v>0.56999999999999995</v>
      </c>
      <c r="G62" s="12">
        <v>10</v>
      </c>
      <c r="H62" s="8">
        <v>1.64</v>
      </c>
      <c r="I62" s="12">
        <v>0</v>
      </c>
    </row>
    <row r="63" spans="2:9" ht="15" customHeight="1" x14ac:dyDescent="0.2">
      <c r="B63" t="s">
        <v>174</v>
      </c>
      <c r="C63" s="12">
        <v>11</v>
      </c>
      <c r="D63" s="8">
        <v>1.39</v>
      </c>
      <c r="E63" s="12">
        <v>7</v>
      </c>
      <c r="F63" s="8">
        <v>3.98</v>
      </c>
      <c r="G63" s="12">
        <v>4</v>
      </c>
      <c r="H63" s="8">
        <v>0.66</v>
      </c>
      <c r="I63" s="12">
        <v>0</v>
      </c>
    </row>
    <row r="64" spans="2:9" ht="15" customHeight="1" x14ac:dyDescent="0.2">
      <c r="B64" t="s">
        <v>158</v>
      </c>
      <c r="C64" s="12">
        <v>10</v>
      </c>
      <c r="D64" s="8">
        <v>1.26</v>
      </c>
      <c r="E64" s="12">
        <v>1</v>
      </c>
      <c r="F64" s="8">
        <v>0.56999999999999995</v>
      </c>
      <c r="G64" s="12">
        <v>9</v>
      </c>
      <c r="H64" s="8">
        <v>1.48</v>
      </c>
      <c r="I64" s="12">
        <v>0</v>
      </c>
    </row>
    <row r="65" spans="2:9" ht="15" customHeight="1" x14ac:dyDescent="0.2">
      <c r="B65" t="s">
        <v>221</v>
      </c>
      <c r="C65" s="12">
        <v>10</v>
      </c>
      <c r="D65" s="8">
        <v>1.26</v>
      </c>
      <c r="E65" s="12">
        <v>0</v>
      </c>
      <c r="F65" s="8">
        <v>0</v>
      </c>
      <c r="G65" s="12">
        <v>10</v>
      </c>
      <c r="H65" s="8">
        <v>1.64</v>
      </c>
      <c r="I65" s="12">
        <v>0</v>
      </c>
    </row>
    <row r="66" spans="2:9" ht="15" customHeight="1" x14ac:dyDescent="0.2">
      <c r="B66" t="s">
        <v>159</v>
      </c>
      <c r="C66" s="12">
        <v>9</v>
      </c>
      <c r="D66" s="8">
        <v>1.1299999999999999</v>
      </c>
      <c r="E66" s="12">
        <v>5</v>
      </c>
      <c r="F66" s="8">
        <v>2.84</v>
      </c>
      <c r="G66" s="12">
        <v>4</v>
      </c>
      <c r="H66" s="8">
        <v>0.66</v>
      </c>
      <c r="I66" s="12">
        <v>0</v>
      </c>
    </row>
    <row r="67" spans="2:9" ht="15" customHeight="1" x14ac:dyDescent="0.2">
      <c r="B67" t="s">
        <v>220</v>
      </c>
      <c r="C67" s="12">
        <v>9</v>
      </c>
      <c r="D67" s="8">
        <v>1.1299999999999999</v>
      </c>
      <c r="E67" s="12">
        <v>2</v>
      </c>
      <c r="F67" s="8">
        <v>1.1399999999999999</v>
      </c>
      <c r="G67" s="12">
        <v>7</v>
      </c>
      <c r="H67" s="8">
        <v>1.1499999999999999</v>
      </c>
      <c r="I67" s="12">
        <v>0</v>
      </c>
    </row>
    <row r="68" spans="2:9" ht="15" customHeight="1" x14ac:dyDescent="0.2">
      <c r="B68" t="s">
        <v>222</v>
      </c>
      <c r="C68" s="12">
        <v>9</v>
      </c>
      <c r="D68" s="8">
        <v>1.1299999999999999</v>
      </c>
      <c r="E68" s="12">
        <v>0</v>
      </c>
      <c r="F68" s="8">
        <v>0</v>
      </c>
      <c r="G68" s="12">
        <v>9</v>
      </c>
      <c r="H68" s="8">
        <v>1.48</v>
      </c>
      <c r="I68" s="12">
        <v>0</v>
      </c>
    </row>
    <row r="70" spans="2:9" ht="15" customHeight="1" x14ac:dyDescent="0.2">
      <c r="B70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CD1AB-E260-4055-ADDF-ECCAD11BBEBB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325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111</v>
      </c>
      <c r="D6" s="8">
        <v>16.350000000000001</v>
      </c>
      <c r="E6" s="12">
        <v>34</v>
      </c>
      <c r="F6" s="8">
        <v>9.0399999999999991</v>
      </c>
      <c r="G6" s="12">
        <v>77</v>
      </c>
      <c r="H6" s="8">
        <v>25.67</v>
      </c>
      <c r="I6" s="12">
        <v>0</v>
      </c>
    </row>
    <row r="7" spans="2:9" ht="15" customHeight="1" x14ac:dyDescent="0.2">
      <c r="B7" t="s">
        <v>76</v>
      </c>
      <c r="C7" s="12">
        <v>58</v>
      </c>
      <c r="D7" s="8">
        <v>8.5399999999999991</v>
      </c>
      <c r="E7" s="12">
        <v>21</v>
      </c>
      <c r="F7" s="8">
        <v>5.59</v>
      </c>
      <c r="G7" s="12">
        <v>37</v>
      </c>
      <c r="H7" s="8">
        <v>12.33</v>
      </c>
      <c r="I7" s="12">
        <v>0</v>
      </c>
    </row>
    <row r="8" spans="2:9" ht="15" customHeight="1" x14ac:dyDescent="0.2">
      <c r="B8" t="s">
        <v>77</v>
      </c>
      <c r="C8" s="12">
        <v>1</v>
      </c>
      <c r="D8" s="8">
        <v>0.15</v>
      </c>
      <c r="E8" s="12">
        <v>0</v>
      </c>
      <c r="F8" s="8">
        <v>0</v>
      </c>
      <c r="G8" s="12">
        <v>1</v>
      </c>
      <c r="H8" s="8">
        <v>0.33</v>
      </c>
      <c r="I8" s="12">
        <v>0</v>
      </c>
    </row>
    <row r="9" spans="2:9" ht="15" customHeight="1" x14ac:dyDescent="0.2">
      <c r="B9" t="s">
        <v>78</v>
      </c>
      <c r="C9" s="12">
        <v>5</v>
      </c>
      <c r="D9" s="8">
        <v>0.74</v>
      </c>
      <c r="E9" s="12">
        <v>0</v>
      </c>
      <c r="F9" s="8">
        <v>0</v>
      </c>
      <c r="G9" s="12">
        <v>4</v>
      </c>
      <c r="H9" s="8">
        <v>1.33</v>
      </c>
      <c r="I9" s="12">
        <v>1</v>
      </c>
    </row>
    <row r="10" spans="2:9" ht="15" customHeight="1" x14ac:dyDescent="0.2">
      <c r="B10" t="s">
        <v>79</v>
      </c>
      <c r="C10" s="12">
        <v>8</v>
      </c>
      <c r="D10" s="8">
        <v>1.18</v>
      </c>
      <c r="E10" s="12">
        <v>4</v>
      </c>
      <c r="F10" s="8">
        <v>1.06</v>
      </c>
      <c r="G10" s="12">
        <v>4</v>
      </c>
      <c r="H10" s="8">
        <v>1.33</v>
      </c>
      <c r="I10" s="12">
        <v>0</v>
      </c>
    </row>
    <row r="11" spans="2:9" ht="15" customHeight="1" x14ac:dyDescent="0.2">
      <c r="B11" t="s">
        <v>80</v>
      </c>
      <c r="C11" s="12">
        <v>133</v>
      </c>
      <c r="D11" s="8">
        <v>19.59</v>
      </c>
      <c r="E11" s="12">
        <v>66</v>
      </c>
      <c r="F11" s="8">
        <v>17.55</v>
      </c>
      <c r="G11" s="12">
        <v>67</v>
      </c>
      <c r="H11" s="8">
        <v>22.33</v>
      </c>
      <c r="I11" s="12">
        <v>0</v>
      </c>
    </row>
    <row r="12" spans="2:9" ht="15" customHeight="1" x14ac:dyDescent="0.2">
      <c r="B12" t="s">
        <v>81</v>
      </c>
      <c r="C12" s="12">
        <v>5</v>
      </c>
      <c r="D12" s="8">
        <v>0.74</v>
      </c>
      <c r="E12" s="12">
        <v>2</v>
      </c>
      <c r="F12" s="8">
        <v>0.53</v>
      </c>
      <c r="G12" s="12">
        <v>3</v>
      </c>
      <c r="H12" s="8">
        <v>1</v>
      </c>
      <c r="I12" s="12">
        <v>0</v>
      </c>
    </row>
    <row r="13" spans="2:9" ht="15" customHeight="1" x14ac:dyDescent="0.2">
      <c r="B13" t="s">
        <v>82</v>
      </c>
      <c r="C13" s="12">
        <v>39</v>
      </c>
      <c r="D13" s="8">
        <v>5.74</v>
      </c>
      <c r="E13" s="12">
        <v>15</v>
      </c>
      <c r="F13" s="8">
        <v>3.99</v>
      </c>
      <c r="G13" s="12">
        <v>24</v>
      </c>
      <c r="H13" s="8">
        <v>8</v>
      </c>
      <c r="I13" s="12">
        <v>0</v>
      </c>
    </row>
    <row r="14" spans="2:9" ht="15" customHeight="1" x14ac:dyDescent="0.2">
      <c r="B14" t="s">
        <v>83</v>
      </c>
      <c r="C14" s="12">
        <v>24</v>
      </c>
      <c r="D14" s="8">
        <v>3.53</v>
      </c>
      <c r="E14" s="12">
        <v>10</v>
      </c>
      <c r="F14" s="8">
        <v>2.66</v>
      </c>
      <c r="G14" s="12">
        <v>14</v>
      </c>
      <c r="H14" s="8">
        <v>4.67</v>
      </c>
      <c r="I14" s="12">
        <v>0</v>
      </c>
    </row>
    <row r="15" spans="2:9" ht="15" customHeight="1" x14ac:dyDescent="0.2">
      <c r="B15" t="s">
        <v>84</v>
      </c>
      <c r="C15" s="12">
        <v>116</v>
      </c>
      <c r="D15" s="8">
        <v>17.079999999999998</v>
      </c>
      <c r="E15" s="12">
        <v>100</v>
      </c>
      <c r="F15" s="8">
        <v>26.6</v>
      </c>
      <c r="G15" s="12">
        <v>15</v>
      </c>
      <c r="H15" s="8">
        <v>5</v>
      </c>
      <c r="I15" s="12">
        <v>0</v>
      </c>
    </row>
    <row r="16" spans="2:9" ht="15" customHeight="1" x14ac:dyDescent="0.2">
      <c r="B16" t="s">
        <v>85</v>
      </c>
      <c r="C16" s="12">
        <v>98</v>
      </c>
      <c r="D16" s="8">
        <v>14.43</v>
      </c>
      <c r="E16" s="12">
        <v>77</v>
      </c>
      <c r="F16" s="8">
        <v>20.48</v>
      </c>
      <c r="G16" s="12">
        <v>21</v>
      </c>
      <c r="H16" s="8">
        <v>7</v>
      </c>
      <c r="I16" s="12">
        <v>0</v>
      </c>
    </row>
    <row r="17" spans="2:9" ht="15" customHeight="1" x14ac:dyDescent="0.2">
      <c r="B17" t="s">
        <v>86</v>
      </c>
      <c r="C17" s="12">
        <v>22</v>
      </c>
      <c r="D17" s="8">
        <v>3.24</v>
      </c>
      <c r="E17" s="12">
        <v>16</v>
      </c>
      <c r="F17" s="8">
        <v>4.26</v>
      </c>
      <c r="G17" s="12">
        <v>6</v>
      </c>
      <c r="H17" s="8">
        <v>2</v>
      </c>
      <c r="I17" s="12">
        <v>0</v>
      </c>
    </row>
    <row r="18" spans="2:9" ht="15" customHeight="1" x14ac:dyDescent="0.2">
      <c r="B18" t="s">
        <v>87</v>
      </c>
      <c r="C18" s="12">
        <v>36</v>
      </c>
      <c r="D18" s="8">
        <v>5.3</v>
      </c>
      <c r="E18" s="12">
        <v>20</v>
      </c>
      <c r="F18" s="8">
        <v>5.32</v>
      </c>
      <c r="G18" s="12">
        <v>15</v>
      </c>
      <c r="H18" s="8">
        <v>5</v>
      </c>
      <c r="I18" s="12">
        <v>0</v>
      </c>
    </row>
    <row r="19" spans="2:9" ht="15" customHeight="1" x14ac:dyDescent="0.2">
      <c r="B19" t="s">
        <v>88</v>
      </c>
      <c r="C19" s="12">
        <v>23</v>
      </c>
      <c r="D19" s="8">
        <v>3.39</v>
      </c>
      <c r="E19" s="12">
        <v>11</v>
      </c>
      <c r="F19" s="8">
        <v>2.93</v>
      </c>
      <c r="G19" s="12">
        <v>12</v>
      </c>
      <c r="H19" s="8">
        <v>4</v>
      </c>
      <c r="I19" s="12">
        <v>0</v>
      </c>
    </row>
    <row r="20" spans="2:9" ht="15" customHeight="1" x14ac:dyDescent="0.2">
      <c r="B20" s="9" t="s">
        <v>269</v>
      </c>
      <c r="C20" s="12">
        <f>SUM(LTBL_11326[総数／事業所数])</f>
        <v>679</v>
      </c>
      <c r="E20" s="12">
        <f>SUBTOTAL(109,LTBL_11326[個人／事業所数])</f>
        <v>376</v>
      </c>
      <c r="G20" s="12">
        <f>SUBTOTAL(109,LTBL_11326[法人／事業所数])</f>
        <v>300</v>
      </c>
      <c r="I20" s="12">
        <f>SUBTOTAL(109,LTBL_11326[法人以外の団体／事業所数])</f>
        <v>1</v>
      </c>
    </row>
    <row r="21" spans="2:9" ht="15" customHeight="1" x14ac:dyDescent="0.2">
      <c r="E21" s="11">
        <f>LTBL_11326[[#Totals],[個人／事業所数]]/LTBL_11326[[#Totals],[総数／事業所数]]</f>
        <v>0.55375552282768781</v>
      </c>
      <c r="G21" s="11">
        <f>LTBL_11326[[#Totals],[法人／事業所数]]/LTBL_11326[[#Totals],[総数／事業所数]]</f>
        <v>0.4418262150220913</v>
      </c>
      <c r="I21" s="11">
        <f>LTBL_11326[[#Totals],[法人以外の団体／事業所数]]/LTBL_11326[[#Totals],[総数／事業所数]]</f>
        <v>1.4727540500736377E-3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111</v>
      </c>
      <c r="C24" s="12">
        <v>108</v>
      </c>
      <c r="D24" s="8">
        <v>15.91</v>
      </c>
      <c r="E24" s="12">
        <v>98</v>
      </c>
      <c r="F24" s="8">
        <v>26.06</v>
      </c>
      <c r="G24" s="12">
        <v>10</v>
      </c>
      <c r="H24" s="8">
        <v>3.33</v>
      </c>
      <c r="I24" s="12">
        <v>0</v>
      </c>
    </row>
    <row r="25" spans="2:9" ht="15" customHeight="1" x14ac:dyDescent="0.2">
      <c r="B25" t="s">
        <v>112</v>
      </c>
      <c r="C25" s="12">
        <v>74</v>
      </c>
      <c r="D25" s="8">
        <v>10.9</v>
      </c>
      <c r="E25" s="12">
        <v>67</v>
      </c>
      <c r="F25" s="8">
        <v>17.82</v>
      </c>
      <c r="G25" s="12">
        <v>7</v>
      </c>
      <c r="H25" s="8">
        <v>2.33</v>
      </c>
      <c r="I25" s="12">
        <v>0</v>
      </c>
    </row>
    <row r="26" spans="2:9" ht="15" customHeight="1" x14ac:dyDescent="0.2">
      <c r="B26" t="s">
        <v>98</v>
      </c>
      <c r="C26" s="12">
        <v>55</v>
      </c>
      <c r="D26" s="8">
        <v>8.1</v>
      </c>
      <c r="E26" s="12">
        <v>24</v>
      </c>
      <c r="F26" s="8">
        <v>6.38</v>
      </c>
      <c r="G26" s="12">
        <v>31</v>
      </c>
      <c r="H26" s="8">
        <v>10.33</v>
      </c>
      <c r="I26" s="12">
        <v>0</v>
      </c>
    </row>
    <row r="27" spans="2:9" ht="15" customHeight="1" x14ac:dyDescent="0.2">
      <c r="B27" t="s">
        <v>97</v>
      </c>
      <c r="C27" s="12">
        <v>38</v>
      </c>
      <c r="D27" s="8">
        <v>5.6</v>
      </c>
      <c r="E27" s="12">
        <v>9</v>
      </c>
      <c r="F27" s="8">
        <v>2.39</v>
      </c>
      <c r="G27" s="12">
        <v>29</v>
      </c>
      <c r="H27" s="8">
        <v>9.67</v>
      </c>
      <c r="I27" s="12">
        <v>0</v>
      </c>
    </row>
    <row r="28" spans="2:9" ht="15" customHeight="1" x14ac:dyDescent="0.2">
      <c r="B28" t="s">
        <v>104</v>
      </c>
      <c r="C28" s="12">
        <v>38</v>
      </c>
      <c r="D28" s="8">
        <v>5.6</v>
      </c>
      <c r="E28" s="12">
        <v>27</v>
      </c>
      <c r="F28" s="8">
        <v>7.18</v>
      </c>
      <c r="G28" s="12">
        <v>11</v>
      </c>
      <c r="H28" s="8">
        <v>3.67</v>
      </c>
      <c r="I28" s="12">
        <v>0</v>
      </c>
    </row>
    <row r="29" spans="2:9" ht="15" customHeight="1" x14ac:dyDescent="0.2">
      <c r="B29" t="s">
        <v>106</v>
      </c>
      <c r="C29" s="12">
        <v>36</v>
      </c>
      <c r="D29" s="8">
        <v>5.3</v>
      </c>
      <c r="E29" s="12">
        <v>16</v>
      </c>
      <c r="F29" s="8">
        <v>4.26</v>
      </c>
      <c r="G29" s="12">
        <v>20</v>
      </c>
      <c r="H29" s="8">
        <v>6.67</v>
      </c>
      <c r="I29" s="12">
        <v>0</v>
      </c>
    </row>
    <row r="30" spans="2:9" ht="15" customHeight="1" x14ac:dyDescent="0.2">
      <c r="B30" t="s">
        <v>115</v>
      </c>
      <c r="C30" s="12">
        <v>26</v>
      </c>
      <c r="D30" s="8">
        <v>3.83</v>
      </c>
      <c r="E30" s="12">
        <v>20</v>
      </c>
      <c r="F30" s="8">
        <v>5.32</v>
      </c>
      <c r="G30" s="12">
        <v>6</v>
      </c>
      <c r="H30" s="8">
        <v>2</v>
      </c>
      <c r="I30" s="12">
        <v>0</v>
      </c>
    </row>
    <row r="31" spans="2:9" ht="15" customHeight="1" x14ac:dyDescent="0.2">
      <c r="B31" t="s">
        <v>108</v>
      </c>
      <c r="C31" s="12">
        <v>25</v>
      </c>
      <c r="D31" s="8">
        <v>3.68</v>
      </c>
      <c r="E31" s="12">
        <v>12</v>
      </c>
      <c r="F31" s="8">
        <v>3.19</v>
      </c>
      <c r="G31" s="12">
        <v>13</v>
      </c>
      <c r="H31" s="8">
        <v>4.33</v>
      </c>
      <c r="I31" s="12">
        <v>0</v>
      </c>
    </row>
    <row r="32" spans="2:9" ht="15" customHeight="1" x14ac:dyDescent="0.2">
      <c r="B32" t="s">
        <v>114</v>
      </c>
      <c r="C32" s="12">
        <v>22</v>
      </c>
      <c r="D32" s="8">
        <v>3.24</v>
      </c>
      <c r="E32" s="12">
        <v>16</v>
      </c>
      <c r="F32" s="8">
        <v>4.26</v>
      </c>
      <c r="G32" s="12">
        <v>6</v>
      </c>
      <c r="H32" s="8">
        <v>2</v>
      </c>
      <c r="I32" s="12">
        <v>0</v>
      </c>
    </row>
    <row r="33" spans="2:9" ht="15" customHeight="1" x14ac:dyDescent="0.2">
      <c r="B33" t="s">
        <v>105</v>
      </c>
      <c r="C33" s="12">
        <v>21</v>
      </c>
      <c r="D33" s="8">
        <v>3.09</v>
      </c>
      <c r="E33" s="12">
        <v>13</v>
      </c>
      <c r="F33" s="8">
        <v>3.46</v>
      </c>
      <c r="G33" s="12">
        <v>8</v>
      </c>
      <c r="H33" s="8">
        <v>2.67</v>
      </c>
      <c r="I33" s="12">
        <v>0</v>
      </c>
    </row>
    <row r="34" spans="2:9" ht="15" customHeight="1" x14ac:dyDescent="0.2">
      <c r="B34" t="s">
        <v>113</v>
      </c>
      <c r="C34" s="12">
        <v>20</v>
      </c>
      <c r="D34" s="8">
        <v>2.95</v>
      </c>
      <c r="E34" s="12">
        <v>9</v>
      </c>
      <c r="F34" s="8">
        <v>2.39</v>
      </c>
      <c r="G34" s="12">
        <v>11</v>
      </c>
      <c r="H34" s="8">
        <v>3.67</v>
      </c>
      <c r="I34" s="12">
        <v>0</v>
      </c>
    </row>
    <row r="35" spans="2:9" ht="15" customHeight="1" x14ac:dyDescent="0.2">
      <c r="B35" t="s">
        <v>99</v>
      </c>
      <c r="C35" s="12">
        <v>18</v>
      </c>
      <c r="D35" s="8">
        <v>2.65</v>
      </c>
      <c r="E35" s="12">
        <v>1</v>
      </c>
      <c r="F35" s="8">
        <v>0.27</v>
      </c>
      <c r="G35" s="12">
        <v>17</v>
      </c>
      <c r="H35" s="8">
        <v>5.67</v>
      </c>
      <c r="I35" s="12">
        <v>0</v>
      </c>
    </row>
    <row r="36" spans="2:9" ht="15" customHeight="1" x14ac:dyDescent="0.2">
      <c r="B36" t="s">
        <v>107</v>
      </c>
      <c r="C36" s="12">
        <v>13</v>
      </c>
      <c r="D36" s="8">
        <v>1.91</v>
      </c>
      <c r="E36" s="12">
        <v>3</v>
      </c>
      <c r="F36" s="8">
        <v>0.8</v>
      </c>
      <c r="G36" s="12">
        <v>10</v>
      </c>
      <c r="H36" s="8">
        <v>3.33</v>
      </c>
      <c r="I36" s="12">
        <v>0</v>
      </c>
    </row>
    <row r="37" spans="2:9" ht="15" customHeight="1" x14ac:dyDescent="0.2">
      <c r="B37" t="s">
        <v>110</v>
      </c>
      <c r="C37" s="12">
        <v>13</v>
      </c>
      <c r="D37" s="8">
        <v>1.91</v>
      </c>
      <c r="E37" s="12">
        <v>4</v>
      </c>
      <c r="F37" s="8">
        <v>1.06</v>
      </c>
      <c r="G37" s="12">
        <v>9</v>
      </c>
      <c r="H37" s="8">
        <v>3</v>
      </c>
      <c r="I37" s="12">
        <v>0</v>
      </c>
    </row>
    <row r="38" spans="2:9" ht="15" customHeight="1" x14ac:dyDescent="0.2">
      <c r="B38" t="s">
        <v>116</v>
      </c>
      <c r="C38" s="12">
        <v>13</v>
      </c>
      <c r="D38" s="8">
        <v>1.91</v>
      </c>
      <c r="E38" s="12">
        <v>9</v>
      </c>
      <c r="F38" s="8">
        <v>2.39</v>
      </c>
      <c r="G38" s="12">
        <v>4</v>
      </c>
      <c r="H38" s="8">
        <v>1.33</v>
      </c>
      <c r="I38" s="12">
        <v>0</v>
      </c>
    </row>
    <row r="39" spans="2:9" ht="15" customHeight="1" x14ac:dyDescent="0.2">
      <c r="B39" t="s">
        <v>100</v>
      </c>
      <c r="C39" s="12">
        <v>12</v>
      </c>
      <c r="D39" s="8">
        <v>1.77</v>
      </c>
      <c r="E39" s="12">
        <v>2</v>
      </c>
      <c r="F39" s="8">
        <v>0.53</v>
      </c>
      <c r="G39" s="12">
        <v>10</v>
      </c>
      <c r="H39" s="8">
        <v>3.33</v>
      </c>
      <c r="I39" s="12">
        <v>0</v>
      </c>
    </row>
    <row r="40" spans="2:9" ht="15" customHeight="1" x14ac:dyDescent="0.2">
      <c r="B40" t="s">
        <v>118</v>
      </c>
      <c r="C40" s="12">
        <v>10</v>
      </c>
      <c r="D40" s="8">
        <v>1.47</v>
      </c>
      <c r="E40" s="12">
        <v>0</v>
      </c>
      <c r="F40" s="8">
        <v>0</v>
      </c>
      <c r="G40" s="12">
        <v>9</v>
      </c>
      <c r="H40" s="8">
        <v>3</v>
      </c>
      <c r="I40" s="12">
        <v>0</v>
      </c>
    </row>
    <row r="41" spans="2:9" ht="15" customHeight="1" x14ac:dyDescent="0.2">
      <c r="B41" t="s">
        <v>117</v>
      </c>
      <c r="C41" s="12">
        <v>9</v>
      </c>
      <c r="D41" s="8">
        <v>1.33</v>
      </c>
      <c r="E41" s="12">
        <v>2</v>
      </c>
      <c r="F41" s="8">
        <v>0.53</v>
      </c>
      <c r="G41" s="12">
        <v>7</v>
      </c>
      <c r="H41" s="8">
        <v>2.33</v>
      </c>
      <c r="I41" s="12">
        <v>0</v>
      </c>
    </row>
    <row r="42" spans="2:9" ht="15" customHeight="1" x14ac:dyDescent="0.2">
      <c r="B42" t="s">
        <v>103</v>
      </c>
      <c r="C42" s="12">
        <v>9</v>
      </c>
      <c r="D42" s="8">
        <v>1.33</v>
      </c>
      <c r="E42" s="12">
        <v>6</v>
      </c>
      <c r="F42" s="8">
        <v>1.6</v>
      </c>
      <c r="G42" s="12">
        <v>3</v>
      </c>
      <c r="H42" s="8">
        <v>1</v>
      </c>
      <c r="I42" s="12">
        <v>0</v>
      </c>
    </row>
    <row r="43" spans="2:9" ht="15" customHeight="1" x14ac:dyDescent="0.2">
      <c r="B43" t="s">
        <v>109</v>
      </c>
      <c r="C43" s="12">
        <v>9</v>
      </c>
      <c r="D43" s="8">
        <v>1.33</v>
      </c>
      <c r="E43" s="12">
        <v>6</v>
      </c>
      <c r="F43" s="8">
        <v>1.6</v>
      </c>
      <c r="G43" s="12">
        <v>3</v>
      </c>
      <c r="H43" s="8">
        <v>1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170</v>
      </c>
      <c r="C47" s="12">
        <v>37</v>
      </c>
      <c r="D47" s="8">
        <v>5.45</v>
      </c>
      <c r="E47" s="12">
        <v>35</v>
      </c>
      <c r="F47" s="8">
        <v>9.31</v>
      </c>
      <c r="G47" s="12">
        <v>2</v>
      </c>
      <c r="H47" s="8">
        <v>0.67</v>
      </c>
      <c r="I47" s="12">
        <v>0</v>
      </c>
    </row>
    <row r="48" spans="2:9" ht="15" customHeight="1" x14ac:dyDescent="0.2">
      <c r="B48" t="s">
        <v>173</v>
      </c>
      <c r="C48" s="12">
        <v>36</v>
      </c>
      <c r="D48" s="8">
        <v>5.3</v>
      </c>
      <c r="E48" s="12">
        <v>34</v>
      </c>
      <c r="F48" s="8">
        <v>9.0399999999999991</v>
      </c>
      <c r="G48" s="12">
        <v>2</v>
      </c>
      <c r="H48" s="8">
        <v>0.67</v>
      </c>
      <c r="I48" s="12">
        <v>0</v>
      </c>
    </row>
    <row r="49" spans="2:9" ht="15" customHeight="1" x14ac:dyDescent="0.2">
      <c r="B49" t="s">
        <v>172</v>
      </c>
      <c r="C49" s="12">
        <v>30</v>
      </c>
      <c r="D49" s="8">
        <v>4.42</v>
      </c>
      <c r="E49" s="12">
        <v>29</v>
      </c>
      <c r="F49" s="8">
        <v>7.71</v>
      </c>
      <c r="G49" s="12">
        <v>1</v>
      </c>
      <c r="H49" s="8">
        <v>0.33</v>
      </c>
      <c r="I49" s="12">
        <v>0</v>
      </c>
    </row>
    <row r="50" spans="2:9" ht="15" customHeight="1" x14ac:dyDescent="0.2">
      <c r="B50" t="s">
        <v>169</v>
      </c>
      <c r="C50" s="12">
        <v>21</v>
      </c>
      <c r="D50" s="8">
        <v>3.09</v>
      </c>
      <c r="E50" s="12">
        <v>18</v>
      </c>
      <c r="F50" s="8">
        <v>4.79</v>
      </c>
      <c r="G50" s="12">
        <v>3</v>
      </c>
      <c r="H50" s="8">
        <v>1</v>
      </c>
      <c r="I50" s="12">
        <v>0</v>
      </c>
    </row>
    <row r="51" spans="2:9" ht="15" customHeight="1" x14ac:dyDescent="0.2">
      <c r="B51" t="s">
        <v>162</v>
      </c>
      <c r="C51" s="12">
        <v>19</v>
      </c>
      <c r="D51" s="8">
        <v>2.8</v>
      </c>
      <c r="E51" s="12">
        <v>11</v>
      </c>
      <c r="F51" s="8">
        <v>2.93</v>
      </c>
      <c r="G51" s="12">
        <v>8</v>
      </c>
      <c r="H51" s="8">
        <v>2.67</v>
      </c>
      <c r="I51" s="12">
        <v>0</v>
      </c>
    </row>
    <row r="52" spans="2:9" ht="15" customHeight="1" x14ac:dyDescent="0.2">
      <c r="B52" t="s">
        <v>174</v>
      </c>
      <c r="C52" s="12">
        <v>19</v>
      </c>
      <c r="D52" s="8">
        <v>2.8</v>
      </c>
      <c r="E52" s="12">
        <v>15</v>
      </c>
      <c r="F52" s="8">
        <v>3.99</v>
      </c>
      <c r="G52" s="12">
        <v>4</v>
      </c>
      <c r="H52" s="8">
        <v>1.33</v>
      </c>
      <c r="I52" s="12">
        <v>0</v>
      </c>
    </row>
    <row r="53" spans="2:9" ht="15" customHeight="1" x14ac:dyDescent="0.2">
      <c r="B53" t="s">
        <v>167</v>
      </c>
      <c r="C53" s="12">
        <v>17</v>
      </c>
      <c r="D53" s="8">
        <v>2.5</v>
      </c>
      <c r="E53" s="12">
        <v>10</v>
      </c>
      <c r="F53" s="8">
        <v>2.66</v>
      </c>
      <c r="G53" s="12">
        <v>7</v>
      </c>
      <c r="H53" s="8">
        <v>2.33</v>
      </c>
      <c r="I53" s="12">
        <v>0</v>
      </c>
    </row>
    <row r="54" spans="2:9" ht="15" customHeight="1" x14ac:dyDescent="0.2">
      <c r="B54" t="s">
        <v>175</v>
      </c>
      <c r="C54" s="12">
        <v>16</v>
      </c>
      <c r="D54" s="8">
        <v>2.36</v>
      </c>
      <c r="E54" s="12">
        <v>13</v>
      </c>
      <c r="F54" s="8">
        <v>3.46</v>
      </c>
      <c r="G54" s="12">
        <v>3</v>
      </c>
      <c r="H54" s="8">
        <v>1</v>
      </c>
      <c r="I54" s="12">
        <v>0</v>
      </c>
    </row>
    <row r="55" spans="2:9" ht="15" customHeight="1" x14ac:dyDescent="0.2">
      <c r="B55" t="s">
        <v>164</v>
      </c>
      <c r="C55" s="12">
        <v>15</v>
      </c>
      <c r="D55" s="8">
        <v>2.21</v>
      </c>
      <c r="E55" s="12">
        <v>9</v>
      </c>
      <c r="F55" s="8">
        <v>2.39</v>
      </c>
      <c r="G55" s="12">
        <v>6</v>
      </c>
      <c r="H55" s="8">
        <v>2</v>
      </c>
      <c r="I55" s="12">
        <v>0</v>
      </c>
    </row>
    <row r="56" spans="2:9" ht="15" customHeight="1" x14ac:dyDescent="0.2">
      <c r="B56" t="s">
        <v>163</v>
      </c>
      <c r="C56" s="12">
        <v>14</v>
      </c>
      <c r="D56" s="8">
        <v>2.06</v>
      </c>
      <c r="E56" s="12">
        <v>8</v>
      </c>
      <c r="F56" s="8">
        <v>2.13</v>
      </c>
      <c r="G56" s="12">
        <v>6</v>
      </c>
      <c r="H56" s="8">
        <v>2</v>
      </c>
      <c r="I56" s="12">
        <v>0</v>
      </c>
    </row>
    <row r="57" spans="2:9" ht="15" customHeight="1" x14ac:dyDescent="0.2">
      <c r="B57" t="s">
        <v>191</v>
      </c>
      <c r="C57" s="12">
        <v>14</v>
      </c>
      <c r="D57" s="8">
        <v>2.06</v>
      </c>
      <c r="E57" s="12">
        <v>13</v>
      </c>
      <c r="F57" s="8">
        <v>3.46</v>
      </c>
      <c r="G57" s="12">
        <v>1</v>
      </c>
      <c r="H57" s="8">
        <v>0.33</v>
      </c>
      <c r="I57" s="12">
        <v>0</v>
      </c>
    </row>
    <row r="58" spans="2:9" ht="15" customHeight="1" x14ac:dyDescent="0.2">
      <c r="B58" t="s">
        <v>176</v>
      </c>
      <c r="C58" s="12">
        <v>13</v>
      </c>
      <c r="D58" s="8">
        <v>1.91</v>
      </c>
      <c r="E58" s="12">
        <v>9</v>
      </c>
      <c r="F58" s="8">
        <v>2.39</v>
      </c>
      <c r="G58" s="12">
        <v>4</v>
      </c>
      <c r="H58" s="8">
        <v>1.33</v>
      </c>
      <c r="I58" s="12">
        <v>0</v>
      </c>
    </row>
    <row r="59" spans="2:9" ht="15" customHeight="1" x14ac:dyDescent="0.2">
      <c r="B59" t="s">
        <v>192</v>
      </c>
      <c r="C59" s="12">
        <v>12</v>
      </c>
      <c r="D59" s="8">
        <v>1.77</v>
      </c>
      <c r="E59" s="12">
        <v>10</v>
      </c>
      <c r="F59" s="8">
        <v>2.66</v>
      </c>
      <c r="G59" s="12">
        <v>2</v>
      </c>
      <c r="H59" s="8">
        <v>0.67</v>
      </c>
      <c r="I59" s="12">
        <v>0</v>
      </c>
    </row>
    <row r="60" spans="2:9" ht="15" customHeight="1" x14ac:dyDescent="0.2">
      <c r="B60" t="s">
        <v>165</v>
      </c>
      <c r="C60" s="12">
        <v>11</v>
      </c>
      <c r="D60" s="8">
        <v>1.62</v>
      </c>
      <c r="E60" s="12">
        <v>3</v>
      </c>
      <c r="F60" s="8">
        <v>0.8</v>
      </c>
      <c r="G60" s="12">
        <v>8</v>
      </c>
      <c r="H60" s="8">
        <v>2.67</v>
      </c>
      <c r="I60" s="12">
        <v>0</v>
      </c>
    </row>
    <row r="61" spans="2:9" ht="15" customHeight="1" x14ac:dyDescent="0.2">
      <c r="B61" t="s">
        <v>205</v>
      </c>
      <c r="C61" s="12">
        <v>11</v>
      </c>
      <c r="D61" s="8">
        <v>1.62</v>
      </c>
      <c r="E61" s="12">
        <v>10</v>
      </c>
      <c r="F61" s="8">
        <v>2.66</v>
      </c>
      <c r="G61" s="12">
        <v>1</v>
      </c>
      <c r="H61" s="8">
        <v>0.33</v>
      </c>
      <c r="I61" s="12">
        <v>0</v>
      </c>
    </row>
    <row r="62" spans="2:9" ht="15" customHeight="1" x14ac:dyDescent="0.2">
      <c r="B62" t="s">
        <v>157</v>
      </c>
      <c r="C62" s="12">
        <v>10</v>
      </c>
      <c r="D62" s="8">
        <v>1.47</v>
      </c>
      <c r="E62" s="12">
        <v>0</v>
      </c>
      <c r="F62" s="8">
        <v>0</v>
      </c>
      <c r="G62" s="12">
        <v>10</v>
      </c>
      <c r="H62" s="8">
        <v>3.33</v>
      </c>
      <c r="I62" s="12">
        <v>0</v>
      </c>
    </row>
    <row r="63" spans="2:9" ht="15" customHeight="1" x14ac:dyDescent="0.2">
      <c r="B63" t="s">
        <v>158</v>
      </c>
      <c r="C63" s="12">
        <v>10</v>
      </c>
      <c r="D63" s="8">
        <v>1.47</v>
      </c>
      <c r="E63" s="12">
        <v>1</v>
      </c>
      <c r="F63" s="8">
        <v>0.27</v>
      </c>
      <c r="G63" s="12">
        <v>9</v>
      </c>
      <c r="H63" s="8">
        <v>3</v>
      </c>
      <c r="I63" s="12">
        <v>0</v>
      </c>
    </row>
    <row r="64" spans="2:9" ht="15" customHeight="1" x14ac:dyDescent="0.2">
      <c r="B64" t="s">
        <v>182</v>
      </c>
      <c r="C64" s="12">
        <v>10</v>
      </c>
      <c r="D64" s="8">
        <v>1.47</v>
      </c>
      <c r="E64" s="12">
        <v>5</v>
      </c>
      <c r="F64" s="8">
        <v>1.33</v>
      </c>
      <c r="G64" s="12">
        <v>5</v>
      </c>
      <c r="H64" s="8">
        <v>1.67</v>
      </c>
      <c r="I64" s="12">
        <v>0</v>
      </c>
    </row>
    <row r="65" spans="2:9" ht="15" customHeight="1" x14ac:dyDescent="0.2">
      <c r="B65" t="s">
        <v>200</v>
      </c>
      <c r="C65" s="12">
        <v>10</v>
      </c>
      <c r="D65" s="8">
        <v>1.47</v>
      </c>
      <c r="E65" s="12">
        <v>2</v>
      </c>
      <c r="F65" s="8">
        <v>0.53</v>
      </c>
      <c r="G65" s="12">
        <v>8</v>
      </c>
      <c r="H65" s="8">
        <v>2.67</v>
      </c>
      <c r="I65" s="12">
        <v>0</v>
      </c>
    </row>
    <row r="66" spans="2:9" ht="15" customHeight="1" x14ac:dyDescent="0.2">
      <c r="B66" t="s">
        <v>159</v>
      </c>
      <c r="C66" s="12">
        <v>9</v>
      </c>
      <c r="D66" s="8">
        <v>1.33</v>
      </c>
      <c r="E66" s="12">
        <v>5</v>
      </c>
      <c r="F66" s="8">
        <v>1.33</v>
      </c>
      <c r="G66" s="12">
        <v>4</v>
      </c>
      <c r="H66" s="8">
        <v>1.33</v>
      </c>
      <c r="I66" s="12">
        <v>0</v>
      </c>
    </row>
    <row r="67" spans="2:9" ht="15" customHeight="1" x14ac:dyDescent="0.2">
      <c r="B67" t="s">
        <v>181</v>
      </c>
      <c r="C67" s="12">
        <v>9</v>
      </c>
      <c r="D67" s="8">
        <v>1.33</v>
      </c>
      <c r="E67" s="12">
        <v>7</v>
      </c>
      <c r="F67" s="8">
        <v>1.86</v>
      </c>
      <c r="G67" s="12">
        <v>2</v>
      </c>
      <c r="H67" s="8">
        <v>0.67</v>
      </c>
      <c r="I67" s="12">
        <v>0</v>
      </c>
    </row>
    <row r="68" spans="2:9" ht="15" customHeight="1" x14ac:dyDescent="0.2">
      <c r="B68" t="s">
        <v>161</v>
      </c>
      <c r="C68" s="12">
        <v>9</v>
      </c>
      <c r="D68" s="8">
        <v>1.33</v>
      </c>
      <c r="E68" s="12">
        <v>0</v>
      </c>
      <c r="F68" s="8">
        <v>0</v>
      </c>
      <c r="G68" s="12">
        <v>9</v>
      </c>
      <c r="H68" s="8">
        <v>3</v>
      </c>
      <c r="I68" s="12">
        <v>0</v>
      </c>
    </row>
    <row r="70" spans="2:9" ht="15" customHeight="1" x14ac:dyDescent="0.2">
      <c r="B70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4F285-BFB6-4C74-8340-909D703C3CC0}">
  <sheetPr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326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62</v>
      </c>
      <c r="D6" s="8">
        <v>20.53</v>
      </c>
      <c r="E6" s="12">
        <v>27</v>
      </c>
      <c r="F6" s="8">
        <v>15.52</v>
      </c>
      <c r="G6" s="12">
        <v>35</v>
      </c>
      <c r="H6" s="8">
        <v>28</v>
      </c>
      <c r="I6" s="12">
        <v>0</v>
      </c>
    </row>
    <row r="7" spans="2:9" ht="15" customHeight="1" x14ac:dyDescent="0.2">
      <c r="B7" t="s">
        <v>76</v>
      </c>
      <c r="C7" s="12">
        <v>55</v>
      </c>
      <c r="D7" s="8">
        <v>18.21</v>
      </c>
      <c r="E7" s="12">
        <v>24</v>
      </c>
      <c r="F7" s="8">
        <v>13.79</v>
      </c>
      <c r="G7" s="12">
        <v>31</v>
      </c>
      <c r="H7" s="8">
        <v>24.8</v>
      </c>
      <c r="I7" s="12">
        <v>0</v>
      </c>
    </row>
    <row r="8" spans="2:9" ht="15" customHeight="1" x14ac:dyDescent="0.2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78</v>
      </c>
      <c r="C9" s="12">
        <v>1</v>
      </c>
      <c r="D9" s="8">
        <v>0.33</v>
      </c>
      <c r="E9" s="12">
        <v>0</v>
      </c>
      <c r="F9" s="8">
        <v>0</v>
      </c>
      <c r="G9" s="12">
        <v>1</v>
      </c>
      <c r="H9" s="8">
        <v>0.8</v>
      </c>
      <c r="I9" s="12">
        <v>0</v>
      </c>
    </row>
    <row r="10" spans="2:9" ht="15" customHeight="1" x14ac:dyDescent="0.2">
      <c r="B10" t="s">
        <v>79</v>
      </c>
      <c r="C10" s="12">
        <v>4</v>
      </c>
      <c r="D10" s="8">
        <v>1.32</v>
      </c>
      <c r="E10" s="12">
        <v>0</v>
      </c>
      <c r="F10" s="8">
        <v>0</v>
      </c>
      <c r="G10" s="12">
        <v>4</v>
      </c>
      <c r="H10" s="8">
        <v>3.2</v>
      </c>
      <c r="I10" s="12">
        <v>0</v>
      </c>
    </row>
    <row r="11" spans="2:9" ht="15" customHeight="1" x14ac:dyDescent="0.2">
      <c r="B11" t="s">
        <v>80</v>
      </c>
      <c r="C11" s="12">
        <v>63</v>
      </c>
      <c r="D11" s="8">
        <v>20.86</v>
      </c>
      <c r="E11" s="12">
        <v>38</v>
      </c>
      <c r="F11" s="8">
        <v>21.84</v>
      </c>
      <c r="G11" s="12">
        <v>25</v>
      </c>
      <c r="H11" s="8">
        <v>20</v>
      </c>
      <c r="I11" s="12">
        <v>0</v>
      </c>
    </row>
    <row r="12" spans="2:9" ht="15" customHeight="1" x14ac:dyDescent="0.2">
      <c r="B12" t="s">
        <v>81</v>
      </c>
      <c r="C12" s="12">
        <v>1</v>
      </c>
      <c r="D12" s="8">
        <v>0.33</v>
      </c>
      <c r="E12" s="12">
        <v>1</v>
      </c>
      <c r="F12" s="8">
        <v>0.56999999999999995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82</v>
      </c>
      <c r="C13" s="12">
        <v>11</v>
      </c>
      <c r="D13" s="8">
        <v>3.64</v>
      </c>
      <c r="E13" s="12">
        <v>2</v>
      </c>
      <c r="F13" s="8">
        <v>1.1499999999999999</v>
      </c>
      <c r="G13" s="12">
        <v>9</v>
      </c>
      <c r="H13" s="8">
        <v>7.2</v>
      </c>
      <c r="I13" s="12">
        <v>0</v>
      </c>
    </row>
    <row r="14" spans="2:9" ht="15" customHeight="1" x14ac:dyDescent="0.2">
      <c r="B14" t="s">
        <v>83</v>
      </c>
      <c r="C14" s="12">
        <v>9</v>
      </c>
      <c r="D14" s="8">
        <v>2.98</v>
      </c>
      <c r="E14" s="12">
        <v>6</v>
      </c>
      <c r="F14" s="8">
        <v>3.45</v>
      </c>
      <c r="G14" s="12">
        <v>3</v>
      </c>
      <c r="H14" s="8">
        <v>2.4</v>
      </c>
      <c r="I14" s="12">
        <v>0</v>
      </c>
    </row>
    <row r="15" spans="2:9" ht="15" customHeight="1" x14ac:dyDescent="0.2">
      <c r="B15" t="s">
        <v>84</v>
      </c>
      <c r="C15" s="12">
        <v>32</v>
      </c>
      <c r="D15" s="8">
        <v>10.6</v>
      </c>
      <c r="E15" s="12">
        <v>26</v>
      </c>
      <c r="F15" s="8">
        <v>14.94</v>
      </c>
      <c r="G15" s="12">
        <v>6</v>
      </c>
      <c r="H15" s="8">
        <v>4.8</v>
      </c>
      <c r="I15" s="12">
        <v>0</v>
      </c>
    </row>
    <row r="16" spans="2:9" ht="15" customHeight="1" x14ac:dyDescent="0.2">
      <c r="B16" t="s">
        <v>85</v>
      </c>
      <c r="C16" s="12">
        <v>20</v>
      </c>
      <c r="D16" s="8">
        <v>6.62</v>
      </c>
      <c r="E16" s="12">
        <v>16</v>
      </c>
      <c r="F16" s="8">
        <v>9.1999999999999993</v>
      </c>
      <c r="G16" s="12">
        <v>4</v>
      </c>
      <c r="H16" s="8">
        <v>3.2</v>
      </c>
      <c r="I16" s="12">
        <v>0</v>
      </c>
    </row>
    <row r="17" spans="2:9" ht="15" customHeight="1" x14ac:dyDescent="0.2">
      <c r="B17" t="s">
        <v>86</v>
      </c>
      <c r="C17" s="12">
        <v>20</v>
      </c>
      <c r="D17" s="8">
        <v>6.62</v>
      </c>
      <c r="E17" s="12">
        <v>19</v>
      </c>
      <c r="F17" s="8">
        <v>10.92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87</v>
      </c>
      <c r="C18" s="12">
        <v>12</v>
      </c>
      <c r="D18" s="8">
        <v>3.97</v>
      </c>
      <c r="E18" s="12">
        <v>7</v>
      </c>
      <c r="F18" s="8">
        <v>4.0199999999999996</v>
      </c>
      <c r="G18" s="12">
        <v>3</v>
      </c>
      <c r="H18" s="8">
        <v>2.4</v>
      </c>
      <c r="I18" s="12">
        <v>0</v>
      </c>
    </row>
    <row r="19" spans="2:9" ht="15" customHeight="1" x14ac:dyDescent="0.2">
      <c r="B19" t="s">
        <v>88</v>
      </c>
      <c r="C19" s="12">
        <v>12</v>
      </c>
      <c r="D19" s="8">
        <v>3.97</v>
      </c>
      <c r="E19" s="12">
        <v>8</v>
      </c>
      <c r="F19" s="8">
        <v>4.5999999999999996</v>
      </c>
      <c r="G19" s="12">
        <v>4</v>
      </c>
      <c r="H19" s="8">
        <v>3.2</v>
      </c>
      <c r="I19" s="12">
        <v>0</v>
      </c>
    </row>
    <row r="20" spans="2:9" ht="15" customHeight="1" x14ac:dyDescent="0.2">
      <c r="B20" s="9" t="s">
        <v>269</v>
      </c>
      <c r="C20" s="12">
        <f>SUM(LTBL_11327[総数／事業所数])</f>
        <v>302</v>
      </c>
      <c r="E20" s="12">
        <f>SUBTOTAL(109,LTBL_11327[個人／事業所数])</f>
        <v>174</v>
      </c>
      <c r="G20" s="12">
        <f>SUBTOTAL(109,LTBL_11327[法人／事業所数])</f>
        <v>125</v>
      </c>
      <c r="I20" s="12">
        <f>SUBTOTAL(109,LTBL_11327[法人以外の団体／事業所数])</f>
        <v>0</v>
      </c>
    </row>
    <row r="21" spans="2:9" ht="15" customHeight="1" x14ac:dyDescent="0.2">
      <c r="E21" s="11">
        <f>LTBL_11327[[#Totals],[個人／事業所数]]/LTBL_11327[[#Totals],[総数／事業所数]]</f>
        <v>0.57615894039735094</v>
      </c>
      <c r="G21" s="11">
        <f>LTBL_11327[[#Totals],[法人／事業所数]]/LTBL_11327[[#Totals],[総数／事業所数]]</f>
        <v>0.41390728476821192</v>
      </c>
      <c r="I21" s="11">
        <f>LTBL_11327[[#Totals],[法人以外の団体／事業所数]]/LTBL_11327[[#Totals],[総数／事業所数]]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111</v>
      </c>
      <c r="C24" s="12">
        <v>31</v>
      </c>
      <c r="D24" s="8">
        <v>10.26</v>
      </c>
      <c r="E24" s="12">
        <v>25</v>
      </c>
      <c r="F24" s="8">
        <v>14.37</v>
      </c>
      <c r="G24" s="12">
        <v>6</v>
      </c>
      <c r="H24" s="8">
        <v>4.8</v>
      </c>
      <c r="I24" s="12">
        <v>0</v>
      </c>
    </row>
    <row r="25" spans="2:9" ht="15" customHeight="1" x14ac:dyDescent="0.2">
      <c r="B25" t="s">
        <v>97</v>
      </c>
      <c r="C25" s="12">
        <v>30</v>
      </c>
      <c r="D25" s="8">
        <v>9.93</v>
      </c>
      <c r="E25" s="12">
        <v>10</v>
      </c>
      <c r="F25" s="8">
        <v>5.75</v>
      </c>
      <c r="G25" s="12">
        <v>20</v>
      </c>
      <c r="H25" s="8">
        <v>16</v>
      </c>
      <c r="I25" s="12">
        <v>0</v>
      </c>
    </row>
    <row r="26" spans="2:9" ht="15" customHeight="1" x14ac:dyDescent="0.2">
      <c r="B26" t="s">
        <v>106</v>
      </c>
      <c r="C26" s="12">
        <v>27</v>
      </c>
      <c r="D26" s="8">
        <v>8.94</v>
      </c>
      <c r="E26" s="12">
        <v>16</v>
      </c>
      <c r="F26" s="8">
        <v>9.1999999999999993</v>
      </c>
      <c r="G26" s="12">
        <v>11</v>
      </c>
      <c r="H26" s="8">
        <v>8.8000000000000007</v>
      </c>
      <c r="I26" s="12">
        <v>0</v>
      </c>
    </row>
    <row r="27" spans="2:9" ht="15" customHeight="1" x14ac:dyDescent="0.2">
      <c r="B27" t="s">
        <v>98</v>
      </c>
      <c r="C27" s="12">
        <v>23</v>
      </c>
      <c r="D27" s="8">
        <v>7.62</v>
      </c>
      <c r="E27" s="12">
        <v>13</v>
      </c>
      <c r="F27" s="8">
        <v>7.47</v>
      </c>
      <c r="G27" s="12">
        <v>10</v>
      </c>
      <c r="H27" s="8">
        <v>8</v>
      </c>
      <c r="I27" s="12">
        <v>0</v>
      </c>
    </row>
    <row r="28" spans="2:9" ht="15" customHeight="1" x14ac:dyDescent="0.2">
      <c r="B28" t="s">
        <v>114</v>
      </c>
      <c r="C28" s="12">
        <v>20</v>
      </c>
      <c r="D28" s="8">
        <v>6.62</v>
      </c>
      <c r="E28" s="12">
        <v>19</v>
      </c>
      <c r="F28" s="8">
        <v>10.92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130</v>
      </c>
      <c r="C29" s="12">
        <v>19</v>
      </c>
      <c r="D29" s="8">
        <v>6.29</v>
      </c>
      <c r="E29" s="12">
        <v>11</v>
      </c>
      <c r="F29" s="8">
        <v>6.32</v>
      </c>
      <c r="G29" s="12">
        <v>8</v>
      </c>
      <c r="H29" s="8">
        <v>6.4</v>
      </c>
      <c r="I29" s="12">
        <v>0</v>
      </c>
    </row>
    <row r="30" spans="2:9" ht="15" customHeight="1" x14ac:dyDescent="0.2">
      <c r="B30" t="s">
        <v>112</v>
      </c>
      <c r="C30" s="12">
        <v>14</v>
      </c>
      <c r="D30" s="8">
        <v>4.6399999999999997</v>
      </c>
      <c r="E30" s="12">
        <v>12</v>
      </c>
      <c r="F30" s="8">
        <v>6.9</v>
      </c>
      <c r="G30" s="12">
        <v>2</v>
      </c>
      <c r="H30" s="8">
        <v>1.6</v>
      </c>
      <c r="I30" s="12">
        <v>0</v>
      </c>
    </row>
    <row r="31" spans="2:9" ht="15" customHeight="1" x14ac:dyDescent="0.2">
      <c r="B31" t="s">
        <v>104</v>
      </c>
      <c r="C31" s="12">
        <v>13</v>
      </c>
      <c r="D31" s="8">
        <v>4.3</v>
      </c>
      <c r="E31" s="12">
        <v>10</v>
      </c>
      <c r="F31" s="8">
        <v>5.75</v>
      </c>
      <c r="G31" s="12">
        <v>3</v>
      </c>
      <c r="H31" s="8">
        <v>2.4</v>
      </c>
      <c r="I31" s="12">
        <v>0</v>
      </c>
    </row>
    <row r="32" spans="2:9" ht="15" customHeight="1" x14ac:dyDescent="0.2">
      <c r="B32" t="s">
        <v>115</v>
      </c>
      <c r="C32" s="12">
        <v>10</v>
      </c>
      <c r="D32" s="8">
        <v>3.31</v>
      </c>
      <c r="E32" s="12">
        <v>7</v>
      </c>
      <c r="F32" s="8">
        <v>4.0199999999999996</v>
      </c>
      <c r="G32" s="12">
        <v>3</v>
      </c>
      <c r="H32" s="8">
        <v>2.4</v>
      </c>
      <c r="I32" s="12">
        <v>0</v>
      </c>
    </row>
    <row r="33" spans="2:9" ht="15" customHeight="1" x14ac:dyDescent="0.2">
      <c r="B33" t="s">
        <v>99</v>
      </c>
      <c r="C33" s="12">
        <v>9</v>
      </c>
      <c r="D33" s="8">
        <v>2.98</v>
      </c>
      <c r="E33" s="12">
        <v>4</v>
      </c>
      <c r="F33" s="8">
        <v>2.2999999999999998</v>
      </c>
      <c r="G33" s="12">
        <v>5</v>
      </c>
      <c r="H33" s="8">
        <v>4</v>
      </c>
      <c r="I33" s="12">
        <v>0</v>
      </c>
    </row>
    <row r="34" spans="2:9" ht="15" customHeight="1" x14ac:dyDescent="0.2">
      <c r="B34" t="s">
        <v>100</v>
      </c>
      <c r="C34" s="12">
        <v>7</v>
      </c>
      <c r="D34" s="8">
        <v>2.3199999999999998</v>
      </c>
      <c r="E34" s="12">
        <v>3</v>
      </c>
      <c r="F34" s="8">
        <v>1.72</v>
      </c>
      <c r="G34" s="12">
        <v>4</v>
      </c>
      <c r="H34" s="8">
        <v>3.2</v>
      </c>
      <c r="I34" s="12">
        <v>0</v>
      </c>
    </row>
    <row r="35" spans="2:9" ht="15" customHeight="1" x14ac:dyDescent="0.2">
      <c r="B35" t="s">
        <v>116</v>
      </c>
      <c r="C35" s="12">
        <v>7</v>
      </c>
      <c r="D35" s="8">
        <v>2.3199999999999998</v>
      </c>
      <c r="E35" s="12">
        <v>6</v>
      </c>
      <c r="F35" s="8">
        <v>3.45</v>
      </c>
      <c r="G35" s="12">
        <v>1</v>
      </c>
      <c r="H35" s="8">
        <v>0.8</v>
      </c>
      <c r="I35" s="12">
        <v>0</v>
      </c>
    </row>
    <row r="36" spans="2:9" ht="15" customHeight="1" x14ac:dyDescent="0.2">
      <c r="B36" t="s">
        <v>103</v>
      </c>
      <c r="C36" s="12">
        <v>6</v>
      </c>
      <c r="D36" s="8">
        <v>1.99</v>
      </c>
      <c r="E36" s="12">
        <v>5</v>
      </c>
      <c r="F36" s="8">
        <v>2.87</v>
      </c>
      <c r="G36" s="12">
        <v>1</v>
      </c>
      <c r="H36" s="8">
        <v>0.8</v>
      </c>
      <c r="I36" s="12">
        <v>0</v>
      </c>
    </row>
    <row r="37" spans="2:9" ht="15" customHeight="1" x14ac:dyDescent="0.2">
      <c r="B37" t="s">
        <v>107</v>
      </c>
      <c r="C37" s="12">
        <v>6</v>
      </c>
      <c r="D37" s="8">
        <v>1.99</v>
      </c>
      <c r="E37" s="12">
        <v>0</v>
      </c>
      <c r="F37" s="8">
        <v>0</v>
      </c>
      <c r="G37" s="12">
        <v>6</v>
      </c>
      <c r="H37" s="8">
        <v>4.8</v>
      </c>
      <c r="I37" s="12">
        <v>0</v>
      </c>
    </row>
    <row r="38" spans="2:9" ht="15" customHeight="1" x14ac:dyDescent="0.2">
      <c r="B38" t="s">
        <v>109</v>
      </c>
      <c r="C38" s="12">
        <v>6</v>
      </c>
      <c r="D38" s="8">
        <v>1.99</v>
      </c>
      <c r="E38" s="12">
        <v>6</v>
      </c>
      <c r="F38" s="8">
        <v>3.45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101</v>
      </c>
      <c r="C39" s="12">
        <v>5</v>
      </c>
      <c r="D39" s="8">
        <v>1.66</v>
      </c>
      <c r="E39" s="12">
        <v>2</v>
      </c>
      <c r="F39" s="8">
        <v>1.1499999999999999</v>
      </c>
      <c r="G39" s="12">
        <v>3</v>
      </c>
      <c r="H39" s="8">
        <v>2.4</v>
      </c>
      <c r="I39" s="12">
        <v>0</v>
      </c>
    </row>
    <row r="40" spans="2:9" ht="15" customHeight="1" x14ac:dyDescent="0.2">
      <c r="B40" t="s">
        <v>105</v>
      </c>
      <c r="C40" s="12">
        <v>5</v>
      </c>
      <c r="D40" s="8">
        <v>1.66</v>
      </c>
      <c r="E40" s="12">
        <v>4</v>
      </c>
      <c r="F40" s="8">
        <v>2.2999999999999998</v>
      </c>
      <c r="G40" s="12">
        <v>1</v>
      </c>
      <c r="H40" s="8">
        <v>0.8</v>
      </c>
      <c r="I40" s="12">
        <v>0</v>
      </c>
    </row>
    <row r="41" spans="2:9" ht="15" customHeight="1" x14ac:dyDescent="0.2">
      <c r="B41" t="s">
        <v>108</v>
      </c>
      <c r="C41" s="12">
        <v>5</v>
      </c>
      <c r="D41" s="8">
        <v>1.66</v>
      </c>
      <c r="E41" s="12">
        <v>2</v>
      </c>
      <c r="F41" s="8">
        <v>1.1499999999999999</v>
      </c>
      <c r="G41" s="12">
        <v>3</v>
      </c>
      <c r="H41" s="8">
        <v>2.4</v>
      </c>
      <c r="I41" s="12">
        <v>0</v>
      </c>
    </row>
    <row r="42" spans="2:9" ht="15" customHeight="1" x14ac:dyDescent="0.2">
      <c r="B42" t="s">
        <v>126</v>
      </c>
      <c r="C42" s="12">
        <v>4</v>
      </c>
      <c r="D42" s="8">
        <v>1.32</v>
      </c>
      <c r="E42" s="12">
        <v>2</v>
      </c>
      <c r="F42" s="8">
        <v>1.1499999999999999</v>
      </c>
      <c r="G42" s="12">
        <v>2</v>
      </c>
      <c r="H42" s="8">
        <v>1.6</v>
      </c>
      <c r="I42" s="12">
        <v>0</v>
      </c>
    </row>
    <row r="43" spans="2:9" ht="15" customHeight="1" x14ac:dyDescent="0.2">
      <c r="B43" t="s">
        <v>129</v>
      </c>
      <c r="C43" s="12">
        <v>3</v>
      </c>
      <c r="D43" s="8">
        <v>0.99</v>
      </c>
      <c r="E43" s="12">
        <v>0</v>
      </c>
      <c r="F43" s="8">
        <v>0</v>
      </c>
      <c r="G43" s="12">
        <v>3</v>
      </c>
      <c r="H43" s="8">
        <v>2.4</v>
      </c>
      <c r="I43" s="12">
        <v>0</v>
      </c>
    </row>
    <row r="44" spans="2:9" ht="15" customHeight="1" x14ac:dyDescent="0.2">
      <c r="B44" t="s">
        <v>136</v>
      </c>
      <c r="C44" s="12">
        <v>3</v>
      </c>
      <c r="D44" s="8">
        <v>0.99</v>
      </c>
      <c r="E44" s="12">
        <v>2</v>
      </c>
      <c r="F44" s="8">
        <v>1.1499999999999999</v>
      </c>
      <c r="G44" s="12">
        <v>1</v>
      </c>
      <c r="H44" s="8">
        <v>0.8</v>
      </c>
      <c r="I44" s="12">
        <v>0</v>
      </c>
    </row>
    <row r="45" spans="2:9" ht="15" customHeight="1" x14ac:dyDescent="0.2">
      <c r="B45" t="s">
        <v>137</v>
      </c>
      <c r="C45" s="12">
        <v>3</v>
      </c>
      <c r="D45" s="8">
        <v>0.99</v>
      </c>
      <c r="E45" s="12">
        <v>1</v>
      </c>
      <c r="F45" s="8">
        <v>0.56999999999999995</v>
      </c>
      <c r="G45" s="12">
        <v>2</v>
      </c>
      <c r="H45" s="8">
        <v>1.6</v>
      </c>
      <c r="I45" s="12">
        <v>0</v>
      </c>
    </row>
    <row r="46" spans="2:9" ht="15" customHeight="1" x14ac:dyDescent="0.2">
      <c r="B46" t="s">
        <v>125</v>
      </c>
      <c r="C46" s="12">
        <v>3</v>
      </c>
      <c r="D46" s="8">
        <v>0.99</v>
      </c>
      <c r="E46" s="12">
        <v>2</v>
      </c>
      <c r="F46" s="8">
        <v>1.1499999999999999</v>
      </c>
      <c r="G46" s="12">
        <v>1</v>
      </c>
      <c r="H46" s="8">
        <v>0.8</v>
      </c>
      <c r="I46" s="12">
        <v>0</v>
      </c>
    </row>
    <row r="47" spans="2:9" ht="15" customHeight="1" x14ac:dyDescent="0.2">
      <c r="B47" t="s">
        <v>117</v>
      </c>
      <c r="C47" s="12">
        <v>3</v>
      </c>
      <c r="D47" s="8">
        <v>0.99</v>
      </c>
      <c r="E47" s="12">
        <v>1</v>
      </c>
      <c r="F47" s="8">
        <v>0.56999999999999995</v>
      </c>
      <c r="G47" s="12">
        <v>2</v>
      </c>
      <c r="H47" s="8">
        <v>1.6</v>
      </c>
      <c r="I47" s="12">
        <v>0</v>
      </c>
    </row>
    <row r="48" spans="2:9" ht="15" customHeight="1" x14ac:dyDescent="0.2">
      <c r="B48" t="s">
        <v>110</v>
      </c>
      <c r="C48" s="12">
        <v>3</v>
      </c>
      <c r="D48" s="8">
        <v>0.99</v>
      </c>
      <c r="E48" s="12">
        <v>0</v>
      </c>
      <c r="F48" s="8">
        <v>0</v>
      </c>
      <c r="G48" s="12">
        <v>3</v>
      </c>
      <c r="H48" s="8">
        <v>2.4</v>
      </c>
      <c r="I48" s="12">
        <v>0</v>
      </c>
    </row>
    <row r="49" spans="2:9" ht="15" customHeight="1" x14ac:dyDescent="0.2">
      <c r="B49" t="s">
        <v>113</v>
      </c>
      <c r="C49" s="12">
        <v>3</v>
      </c>
      <c r="D49" s="8">
        <v>0.99</v>
      </c>
      <c r="E49" s="12">
        <v>2</v>
      </c>
      <c r="F49" s="8">
        <v>1.1499999999999999</v>
      </c>
      <c r="G49" s="12">
        <v>1</v>
      </c>
      <c r="H49" s="8">
        <v>0.8</v>
      </c>
      <c r="I49" s="12">
        <v>0</v>
      </c>
    </row>
    <row r="50" spans="2:9" ht="15" customHeight="1" x14ac:dyDescent="0.2">
      <c r="B50" t="s">
        <v>124</v>
      </c>
      <c r="C50" s="12">
        <v>3</v>
      </c>
      <c r="D50" s="8">
        <v>0.99</v>
      </c>
      <c r="E50" s="12">
        <v>2</v>
      </c>
      <c r="F50" s="8">
        <v>1.1499999999999999</v>
      </c>
      <c r="G50" s="12">
        <v>1</v>
      </c>
      <c r="H50" s="8">
        <v>0.8</v>
      </c>
      <c r="I50" s="12">
        <v>0</v>
      </c>
    </row>
    <row r="51" spans="2:9" ht="15" customHeight="1" x14ac:dyDescent="0.2">
      <c r="B51" t="s">
        <v>119</v>
      </c>
      <c r="C51" s="12">
        <v>3</v>
      </c>
      <c r="D51" s="8">
        <v>0.99</v>
      </c>
      <c r="E51" s="12">
        <v>0</v>
      </c>
      <c r="F51" s="8">
        <v>0</v>
      </c>
      <c r="G51" s="12">
        <v>3</v>
      </c>
      <c r="H51" s="8">
        <v>2.4</v>
      </c>
      <c r="I51" s="12">
        <v>0</v>
      </c>
    </row>
    <row r="54" spans="2:9" ht="33" customHeight="1" x14ac:dyDescent="0.2">
      <c r="B54" t="s">
        <v>271</v>
      </c>
      <c r="C54" s="10" t="s">
        <v>90</v>
      </c>
      <c r="D54" s="10" t="s">
        <v>91</v>
      </c>
      <c r="E54" s="10" t="s">
        <v>92</v>
      </c>
      <c r="F54" s="10" t="s">
        <v>93</v>
      </c>
      <c r="G54" s="10" t="s">
        <v>94</v>
      </c>
      <c r="H54" s="10" t="s">
        <v>95</v>
      </c>
      <c r="I54" s="10" t="s">
        <v>96</v>
      </c>
    </row>
    <row r="55" spans="2:9" ht="15" customHeight="1" x14ac:dyDescent="0.2">
      <c r="B55" t="s">
        <v>223</v>
      </c>
      <c r="C55" s="12">
        <v>16</v>
      </c>
      <c r="D55" s="8">
        <v>5.3</v>
      </c>
      <c r="E55" s="12">
        <v>9</v>
      </c>
      <c r="F55" s="8">
        <v>5.17</v>
      </c>
      <c r="G55" s="12">
        <v>7</v>
      </c>
      <c r="H55" s="8">
        <v>5.6</v>
      </c>
      <c r="I55" s="12">
        <v>0</v>
      </c>
    </row>
    <row r="56" spans="2:9" ht="15" customHeight="1" x14ac:dyDescent="0.2">
      <c r="B56" t="s">
        <v>206</v>
      </c>
      <c r="C56" s="12">
        <v>13</v>
      </c>
      <c r="D56" s="8">
        <v>4.3</v>
      </c>
      <c r="E56" s="12">
        <v>11</v>
      </c>
      <c r="F56" s="8">
        <v>6.32</v>
      </c>
      <c r="G56" s="12">
        <v>2</v>
      </c>
      <c r="H56" s="8">
        <v>1.6</v>
      </c>
      <c r="I56" s="12">
        <v>0</v>
      </c>
    </row>
    <row r="57" spans="2:9" ht="15" customHeight="1" x14ac:dyDescent="0.2">
      <c r="B57" t="s">
        <v>174</v>
      </c>
      <c r="C57" s="12">
        <v>13</v>
      </c>
      <c r="D57" s="8">
        <v>4.3</v>
      </c>
      <c r="E57" s="12">
        <v>13</v>
      </c>
      <c r="F57" s="8">
        <v>7.47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157</v>
      </c>
      <c r="C58" s="12">
        <v>12</v>
      </c>
      <c r="D58" s="8">
        <v>3.97</v>
      </c>
      <c r="E58" s="12">
        <v>2</v>
      </c>
      <c r="F58" s="8">
        <v>1.1499999999999999</v>
      </c>
      <c r="G58" s="12">
        <v>10</v>
      </c>
      <c r="H58" s="8">
        <v>8</v>
      </c>
      <c r="I58" s="12">
        <v>0</v>
      </c>
    </row>
    <row r="59" spans="2:9" ht="15" customHeight="1" x14ac:dyDescent="0.2">
      <c r="B59" t="s">
        <v>159</v>
      </c>
      <c r="C59" s="12">
        <v>10</v>
      </c>
      <c r="D59" s="8">
        <v>3.31</v>
      </c>
      <c r="E59" s="12">
        <v>5</v>
      </c>
      <c r="F59" s="8">
        <v>2.87</v>
      </c>
      <c r="G59" s="12">
        <v>5</v>
      </c>
      <c r="H59" s="8">
        <v>4</v>
      </c>
      <c r="I59" s="12">
        <v>0</v>
      </c>
    </row>
    <row r="60" spans="2:9" ht="15" customHeight="1" x14ac:dyDescent="0.2">
      <c r="B60" t="s">
        <v>192</v>
      </c>
      <c r="C60" s="12">
        <v>9</v>
      </c>
      <c r="D60" s="8">
        <v>2.98</v>
      </c>
      <c r="E60" s="12">
        <v>7</v>
      </c>
      <c r="F60" s="8">
        <v>4.0199999999999996</v>
      </c>
      <c r="G60" s="12">
        <v>2</v>
      </c>
      <c r="H60" s="8">
        <v>1.6</v>
      </c>
      <c r="I60" s="12">
        <v>0</v>
      </c>
    </row>
    <row r="61" spans="2:9" ht="15" customHeight="1" x14ac:dyDescent="0.2">
      <c r="B61" t="s">
        <v>175</v>
      </c>
      <c r="C61" s="12">
        <v>9</v>
      </c>
      <c r="D61" s="8">
        <v>2.98</v>
      </c>
      <c r="E61" s="12">
        <v>6</v>
      </c>
      <c r="F61" s="8">
        <v>3.45</v>
      </c>
      <c r="G61" s="12">
        <v>3</v>
      </c>
      <c r="H61" s="8">
        <v>2.4</v>
      </c>
      <c r="I61" s="12">
        <v>0</v>
      </c>
    </row>
    <row r="62" spans="2:9" ht="15" customHeight="1" x14ac:dyDescent="0.2">
      <c r="B62" t="s">
        <v>158</v>
      </c>
      <c r="C62" s="12">
        <v>7</v>
      </c>
      <c r="D62" s="8">
        <v>2.3199999999999998</v>
      </c>
      <c r="E62" s="12">
        <v>2</v>
      </c>
      <c r="F62" s="8">
        <v>1.1499999999999999</v>
      </c>
      <c r="G62" s="12">
        <v>5</v>
      </c>
      <c r="H62" s="8">
        <v>4</v>
      </c>
      <c r="I62" s="12">
        <v>0</v>
      </c>
    </row>
    <row r="63" spans="2:9" ht="15" customHeight="1" x14ac:dyDescent="0.2">
      <c r="B63" t="s">
        <v>207</v>
      </c>
      <c r="C63" s="12">
        <v>7</v>
      </c>
      <c r="D63" s="8">
        <v>2.3199999999999998</v>
      </c>
      <c r="E63" s="12">
        <v>4</v>
      </c>
      <c r="F63" s="8">
        <v>2.2999999999999998</v>
      </c>
      <c r="G63" s="12">
        <v>3</v>
      </c>
      <c r="H63" s="8">
        <v>2.4</v>
      </c>
      <c r="I63" s="12">
        <v>0</v>
      </c>
    </row>
    <row r="64" spans="2:9" ht="15" customHeight="1" x14ac:dyDescent="0.2">
      <c r="B64" t="s">
        <v>173</v>
      </c>
      <c r="C64" s="12">
        <v>7</v>
      </c>
      <c r="D64" s="8">
        <v>2.3199999999999998</v>
      </c>
      <c r="E64" s="12">
        <v>7</v>
      </c>
      <c r="F64" s="8">
        <v>4.0199999999999996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176</v>
      </c>
      <c r="C65" s="12">
        <v>7</v>
      </c>
      <c r="D65" s="8">
        <v>2.3199999999999998</v>
      </c>
      <c r="E65" s="12">
        <v>6</v>
      </c>
      <c r="F65" s="8">
        <v>3.45</v>
      </c>
      <c r="G65" s="12">
        <v>1</v>
      </c>
      <c r="H65" s="8">
        <v>0.8</v>
      </c>
      <c r="I65" s="12">
        <v>0</v>
      </c>
    </row>
    <row r="66" spans="2:9" ht="15" customHeight="1" x14ac:dyDescent="0.2">
      <c r="B66" t="s">
        <v>160</v>
      </c>
      <c r="C66" s="12">
        <v>6</v>
      </c>
      <c r="D66" s="8">
        <v>1.99</v>
      </c>
      <c r="E66" s="12">
        <v>2</v>
      </c>
      <c r="F66" s="8">
        <v>1.1499999999999999</v>
      </c>
      <c r="G66" s="12">
        <v>4</v>
      </c>
      <c r="H66" s="8">
        <v>3.2</v>
      </c>
      <c r="I66" s="12">
        <v>0</v>
      </c>
    </row>
    <row r="67" spans="2:9" ht="15" customHeight="1" x14ac:dyDescent="0.2">
      <c r="B67" t="s">
        <v>179</v>
      </c>
      <c r="C67" s="12">
        <v>6</v>
      </c>
      <c r="D67" s="8">
        <v>1.99</v>
      </c>
      <c r="E67" s="12">
        <v>6</v>
      </c>
      <c r="F67" s="8">
        <v>3.45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216</v>
      </c>
      <c r="C68" s="12">
        <v>5</v>
      </c>
      <c r="D68" s="8">
        <v>1.66</v>
      </c>
      <c r="E68" s="12">
        <v>1</v>
      </c>
      <c r="F68" s="8">
        <v>0.56999999999999995</v>
      </c>
      <c r="G68" s="12">
        <v>4</v>
      </c>
      <c r="H68" s="8">
        <v>3.2</v>
      </c>
      <c r="I68" s="12">
        <v>0</v>
      </c>
    </row>
    <row r="69" spans="2:9" ht="15" customHeight="1" x14ac:dyDescent="0.2">
      <c r="B69" t="s">
        <v>197</v>
      </c>
      <c r="C69" s="12">
        <v>5</v>
      </c>
      <c r="D69" s="8">
        <v>1.66</v>
      </c>
      <c r="E69" s="12">
        <v>4</v>
      </c>
      <c r="F69" s="8">
        <v>2.2999999999999998</v>
      </c>
      <c r="G69" s="12">
        <v>1</v>
      </c>
      <c r="H69" s="8">
        <v>0.8</v>
      </c>
      <c r="I69" s="12">
        <v>0</v>
      </c>
    </row>
    <row r="70" spans="2:9" ht="15" customHeight="1" x14ac:dyDescent="0.2">
      <c r="B70" t="s">
        <v>200</v>
      </c>
      <c r="C70" s="12">
        <v>5</v>
      </c>
      <c r="D70" s="8">
        <v>1.66</v>
      </c>
      <c r="E70" s="12">
        <v>2</v>
      </c>
      <c r="F70" s="8">
        <v>1.1499999999999999</v>
      </c>
      <c r="G70" s="12">
        <v>3</v>
      </c>
      <c r="H70" s="8">
        <v>2.4</v>
      </c>
      <c r="I70" s="12">
        <v>0</v>
      </c>
    </row>
    <row r="71" spans="2:9" ht="15" customHeight="1" x14ac:dyDescent="0.2">
      <c r="B71" t="s">
        <v>224</v>
      </c>
      <c r="C71" s="12">
        <v>5</v>
      </c>
      <c r="D71" s="8">
        <v>1.66</v>
      </c>
      <c r="E71" s="12">
        <v>4</v>
      </c>
      <c r="F71" s="8">
        <v>2.2999999999999998</v>
      </c>
      <c r="G71" s="12">
        <v>1</v>
      </c>
      <c r="H71" s="8">
        <v>0.8</v>
      </c>
      <c r="I71" s="12">
        <v>0</v>
      </c>
    </row>
    <row r="72" spans="2:9" ht="15" customHeight="1" x14ac:dyDescent="0.2">
      <c r="B72" t="s">
        <v>225</v>
      </c>
      <c r="C72" s="12">
        <v>5</v>
      </c>
      <c r="D72" s="8">
        <v>1.66</v>
      </c>
      <c r="E72" s="12">
        <v>5</v>
      </c>
      <c r="F72" s="8">
        <v>2.87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172</v>
      </c>
      <c r="C73" s="12">
        <v>5</v>
      </c>
      <c r="D73" s="8">
        <v>1.66</v>
      </c>
      <c r="E73" s="12">
        <v>4</v>
      </c>
      <c r="F73" s="8">
        <v>2.2999999999999998</v>
      </c>
      <c r="G73" s="12">
        <v>1</v>
      </c>
      <c r="H73" s="8">
        <v>0.8</v>
      </c>
      <c r="I73" s="12">
        <v>0</v>
      </c>
    </row>
    <row r="74" spans="2:9" ht="15" customHeight="1" x14ac:dyDescent="0.2">
      <c r="B74" t="s">
        <v>180</v>
      </c>
      <c r="C74" s="12">
        <v>4</v>
      </c>
      <c r="D74" s="8">
        <v>1.32</v>
      </c>
      <c r="E74" s="12">
        <v>2</v>
      </c>
      <c r="F74" s="8">
        <v>1.1499999999999999</v>
      </c>
      <c r="G74" s="12">
        <v>2</v>
      </c>
      <c r="H74" s="8">
        <v>1.6</v>
      </c>
      <c r="I74" s="12">
        <v>0</v>
      </c>
    </row>
    <row r="75" spans="2:9" ht="15" customHeight="1" x14ac:dyDescent="0.2">
      <c r="B75" t="s">
        <v>204</v>
      </c>
      <c r="C75" s="12">
        <v>4</v>
      </c>
      <c r="D75" s="8">
        <v>1.32</v>
      </c>
      <c r="E75" s="12">
        <v>2</v>
      </c>
      <c r="F75" s="8">
        <v>1.1499999999999999</v>
      </c>
      <c r="G75" s="12">
        <v>2</v>
      </c>
      <c r="H75" s="8">
        <v>1.6</v>
      </c>
      <c r="I75" s="12">
        <v>0</v>
      </c>
    </row>
    <row r="76" spans="2:9" ht="15" customHeight="1" x14ac:dyDescent="0.2">
      <c r="B76" t="s">
        <v>226</v>
      </c>
      <c r="C76" s="12">
        <v>4</v>
      </c>
      <c r="D76" s="8">
        <v>1.32</v>
      </c>
      <c r="E76" s="12">
        <v>4</v>
      </c>
      <c r="F76" s="8">
        <v>2.2999999999999998</v>
      </c>
      <c r="G76" s="12">
        <v>0</v>
      </c>
      <c r="H76" s="8">
        <v>0</v>
      </c>
      <c r="I76" s="12">
        <v>0</v>
      </c>
    </row>
    <row r="78" spans="2:9" ht="15" customHeight="1" x14ac:dyDescent="0.2">
      <c r="B78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5D530-D538-437F-BE65-F90208BD83C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273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2916</v>
      </c>
      <c r="D6" s="8">
        <v>13.98</v>
      </c>
      <c r="E6" s="12">
        <v>392</v>
      </c>
      <c r="F6" s="8">
        <v>5.34</v>
      </c>
      <c r="G6" s="12">
        <v>2523</v>
      </c>
      <c r="H6" s="8">
        <v>18.77</v>
      </c>
      <c r="I6" s="12">
        <v>1</v>
      </c>
    </row>
    <row r="7" spans="2:9" ht="15" customHeight="1" x14ac:dyDescent="0.2">
      <c r="B7" t="s">
        <v>76</v>
      </c>
      <c r="C7" s="12">
        <v>1627</v>
      </c>
      <c r="D7" s="8">
        <v>7.8</v>
      </c>
      <c r="E7" s="12">
        <v>351</v>
      </c>
      <c r="F7" s="8">
        <v>4.78</v>
      </c>
      <c r="G7" s="12">
        <v>1276</v>
      </c>
      <c r="H7" s="8">
        <v>9.49</v>
      </c>
      <c r="I7" s="12">
        <v>0</v>
      </c>
    </row>
    <row r="8" spans="2:9" ht="15" customHeight="1" x14ac:dyDescent="0.2">
      <c r="B8" t="s">
        <v>77</v>
      </c>
      <c r="C8" s="12">
        <v>17</v>
      </c>
      <c r="D8" s="8">
        <v>0.08</v>
      </c>
      <c r="E8" s="12">
        <v>0</v>
      </c>
      <c r="F8" s="8">
        <v>0</v>
      </c>
      <c r="G8" s="12">
        <v>17</v>
      </c>
      <c r="H8" s="8">
        <v>0.13</v>
      </c>
      <c r="I8" s="12">
        <v>0</v>
      </c>
    </row>
    <row r="9" spans="2:9" ht="15" customHeight="1" x14ac:dyDescent="0.2">
      <c r="B9" t="s">
        <v>78</v>
      </c>
      <c r="C9" s="12">
        <v>349</v>
      </c>
      <c r="D9" s="8">
        <v>1.67</v>
      </c>
      <c r="E9" s="12">
        <v>9</v>
      </c>
      <c r="F9" s="8">
        <v>0.12</v>
      </c>
      <c r="G9" s="12">
        <v>340</v>
      </c>
      <c r="H9" s="8">
        <v>2.5299999999999998</v>
      </c>
      <c r="I9" s="12">
        <v>0</v>
      </c>
    </row>
    <row r="10" spans="2:9" ht="15" customHeight="1" x14ac:dyDescent="0.2">
      <c r="B10" t="s">
        <v>79</v>
      </c>
      <c r="C10" s="12">
        <v>200</v>
      </c>
      <c r="D10" s="8">
        <v>0.96</v>
      </c>
      <c r="E10" s="12">
        <v>18</v>
      </c>
      <c r="F10" s="8">
        <v>0.25</v>
      </c>
      <c r="G10" s="12">
        <v>182</v>
      </c>
      <c r="H10" s="8">
        <v>1.35</v>
      </c>
      <c r="I10" s="12">
        <v>0</v>
      </c>
    </row>
    <row r="11" spans="2:9" ht="15" customHeight="1" x14ac:dyDescent="0.2">
      <c r="B11" t="s">
        <v>80</v>
      </c>
      <c r="C11" s="12">
        <v>4072</v>
      </c>
      <c r="D11" s="8">
        <v>19.52</v>
      </c>
      <c r="E11" s="12">
        <v>1135</v>
      </c>
      <c r="F11" s="8">
        <v>15.47</v>
      </c>
      <c r="G11" s="12">
        <v>2934</v>
      </c>
      <c r="H11" s="8">
        <v>21.83</v>
      </c>
      <c r="I11" s="12">
        <v>3</v>
      </c>
    </row>
    <row r="12" spans="2:9" ht="15" customHeight="1" x14ac:dyDescent="0.2">
      <c r="B12" t="s">
        <v>81</v>
      </c>
      <c r="C12" s="12">
        <v>178</v>
      </c>
      <c r="D12" s="8">
        <v>0.85</v>
      </c>
      <c r="E12" s="12">
        <v>15</v>
      </c>
      <c r="F12" s="8">
        <v>0.2</v>
      </c>
      <c r="G12" s="12">
        <v>163</v>
      </c>
      <c r="H12" s="8">
        <v>1.21</v>
      </c>
      <c r="I12" s="12">
        <v>0</v>
      </c>
    </row>
    <row r="13" spans="2:9" ht="15" customHeight="1" x14ac:dyDescent="0.2">
      <c r="B13" t="s">
        <v>82</v>
      </c>
      <c r="C13" s="12">
        <v>2790</v>
      </c>
      <c r="D13" s="8">
        <v>13.37</v>
      </c>
      <c r="E13" s="12">
        <v>538</v>
      </c>
      <c r="F13" s="8">
        <v>7.33</v>
      </c>
      <c r="G13" s="12">
        <v>2250</v>
      </c>
      <c r="H13" s="8">
        <v>16.739999999999998</v>
      </c>
      <c r="I13" s="12">
        <v>1</v>
      </c>
    </row>
    <row r="14" spans="2:9" ht="15" customHeight="1" x14ac:dyDescent="0.2">
      <c r="B14" t="s">
        <v>83</v>
      </c>
      <c r="C14" s="12">
        <v>1606</v>
      </c>
      <c r="D14" s="8">
        <v>7.7</v>
      </c>
      <c r="E14" s="12">
        <v>634</v>
      </c>
      <c r="F14" s="8">
        <v>8.64</v>
      </c>
      <c r="G14" s="12">
        <v>967</v>
      </c>
      <c r="H14" s="8">
        <v>7.19</v>
      </c>
      <c r="I14" s="12">
        <v>2</v>
      </c>
    </row>
    <row r="15" spans="2:9" ht="15" customHeight="1" x14ac:dyDescent="0.2">
      <c r="B15" t="s">
        <v>84</v>
      </c>
      <c r="C15" s="12">
        <v>1801</v>
      </c>
      <c r="D15" s="8">
        <v>8.6300000000000008</v>
      </c>
      <c r="E15" s="12">
        <v>1281</v>
      </c>
      <c r="F15" s="8">
        <v>17.46</v>
      </c>
      <c r="G15" s="12">
        <v>519</v>
      </c>
      <c r="H15" s="8">
        <v>3.86</v>
      </c>
      <c r="I15" s="12">
        <v>0</v>
      </c>
    </row>
    <row r="16" spans="2:9" ht="15" customHeight="1" x14ac:dyDescent="0.2">
      <c r="B16" t="s">
        <v>85</v>
      </c>
      <c r="C16" s="12">
        <v>2375</v>
      </c>
      <c r="D16" s="8">
        <v>11.38</v>
      </c>
      <c r="E16" s="12">
        <v>1560</v>
      </c>
      <c r="F16" s="8">
        <v>21.26</v>
      </c>
      <c r="G16" s="12">
        <v>813</v>
      </c>
      <c r="H16" s="8">
        <v>6.05</v>
      </c>
      <c r="I16" s="12">
        <v>1</v>
      </c>
    </row>
    <row r="17" spans="2:9" ht="15" customHeight="1" x14ac:dyDescent="0.2">
      <c r="B17" t="s">
        <v>86</v>
      </c>
      <c r="C17" s="12">
        <v>957</v>
      </c>
      <c r="D17" s="8">
        <v>4.59</v>
      </c>
      <c r="E17" s="12">
        <v>544</v>
      </c>
      <c r="F17" s="8">
        <v>7.41</v>
      </c>
      <c r="G17" s="12">
        <v>361</v>
      </c>
      <c r="H17" s="8">
        <v>2.69</v>
      </c>
      <c r="I17" s="12">
        <v>1</v>
      </c>
    </row>
    <row r="18" spans="2:9" ht="15" customHeight="1" x14ac:dyDescent="0.2">
      <c r="B18" t="s">
        <v>87</v>
      </c>
      <c r="C18" s="12">
        <v>1244</v>
      </c>
      <c r="D18" s="8">
        <v>5.96</v>
      </c>
      <c r="E18" s="12">
        <v>732</v>
      </c>
      <c r="F18" s="8">
        <v>9.98</v>
      </c>
      <c r="G18" s="12">
        <v>506</v>
      </c>
      <c r="H18" s="8">
        <v>3.76</v>
      </c>
      <c r="I18" s="12">
        <v>5</v>
      </c>
    </row>
    <row r="19" spans="2:9" ht="15" customHeight="1" x14ac:dyDescent="0.2">
      <c r="B19" t="s">
        <v>88</v>
      </c>
      <c r="C19" s="12">
        <v>732</v>
      </c>
      <c r="D19" s="8">
        <v>3.51</v>
      </c>
      <c r="E19" s="12">
        <v>129</v>
      </c>
      <c r="F19" s="8">
        <v>1.76</v>
      </c>
      <c r="G19" s="12">
        <v>591</v>
      </c>
      <c r="H19" s="8">
        <v>4.4000000000000004</v>
      </c>
      <c r="I19" s="12">
        <v>10</v>
      </c>
    </row>
    <row r="20" spans="2:9" ht="15" customHeight="1" x14ac:dyDescent="0.2">
      <c r="B20" s="9" t="s">
        <v>269</v>
      </c>
      <c r="C20" s="12">
        <f>SUM(LTBL_11100[総数／事業所数])</f>
        <v>20864</v>
      </c>
      <c r="E20" s="12">
        <f>SUBTOTAL(109,LTBL_11100[個人／事業所数])</f>
        <v>7338</v>
      </c>
      <c r="G20" s="12">
        <f>SUBTOTAL(109,LTBL_11100[法人／事業所数])</f>
        <v>13442</v>
      </c>
      <c r="I20" s="12">
        <f>SUBTOTAL(109,LTBL_11100[法人以外の団体／事業所数])</f>
        <v>24</v>
      </c>
    </row>
    <row r="21" spans="2:9" ht="15" customHeight="1" x14ac:dyDescent="0.2">
      <c r="E21" s="11">
        <f>LTBL_11100[[#Totals],[個人／事業所数]]/LTBL_11100[[#Totals],[総数／事業所数]]</f>
        <v>0.35170628834355827</v>
      </c>
      <c r="G21" s="11">
        <f>LTBL_11100[[#Totals],[法人／事業所数]]/LTBL_11100[[#Totals],[総数／事業所数]]</f>
        <v>0.64426763803680986</v>
      </c>
      <c r="I21" s="11">
        <f>LTBL_11100[[#Totals],[法人以外の団体／事業所数]]/LTBL_11100[[#Totals],[総数／事業所数]]</f>
        <v>1.1503067484662577E-3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108</v>
      </c>
      <c r="C24" s="12">
        <v>2192</v>
      </c>
      <c r="D24" s="8">
        <v>10.51</v>
      </c>
      <c r="E24" s="12">
        <v>512</v>
      </c>
      <c r="F24" s="8">
        <v>6.98</v>
      </c>
      <c r="G24" s="12">
        <v>1678</v>
      </c>
      <c r="H24" s="8">
        <v>12.48</v>
      </c>
      <c r="I24" s="12">
        <v>1</v>
      </c>
    </row>
    <row r="25" spans="2:9" ht="15" customHeight="1" x14ac:dyDescent="0.2">
      <c r="B25" t="s">
        <v>112</v>
      </c>
      <c r="C25" s="12">
        <v>1916</v>
      </c>
      <c r="D25" s="8">
        <v>9.18</v>
      </c>
      <c r="E25" s="12">
        <v>1418</v>
      </c>
      <c r="F25" s="8">
        <v>19.32</v>
      </c>
      <c r="G25" s="12">
        <v>498</v>
      </c>
      <c r="H25" s="8">
        <v>3.7</v>
      </c>
      <c r="I25" s="12">
        <v>0</v>
      </c>
    </row>
    <row r="26" spans="2:9" ht="15" customHeight="1" x14ac:dyDescent="0.2">
      <c r="B26" t="s">
        <v>111</v>
      </c>
      <c r="C26" s="12">
        <v>1631</v>
      </c>
      <c r="D26" s="8">
        <v>7.82</v>
      </c>
      <c r="E26" s="12">
        <v>1259</v>
      </c>
      <c r="F26" s="8">
        <v>17.16</v>
      </c>
      <c r="G26" s="12">
        <v>372</v>
      </c>
      <c r="H26" s="8">
        <v>2.77</v>
      </c>
      <c r="I26" s="12">
        <v>0</v>
      </c>
    </row>
    <row r="27" spans="2:9" ht="15" customHeight="1" x14ac:dyDescent="0.2">
      <c r="B27" t="s">
        <v>97</v>
      </c>
      <c r="C27" s="12">
        <v>1089</v>
      </c>
      <c r="D27" s="8">
        <v>5.22</v>
      </c>
      <c r="E27" s="12">
        <v>129</v>
      </c>
      <c r="F27" s="8">
        <v>1.76</v>
      </c>
      <c r="G27" s="12">
        <v>960</v>
      </c>
      <c r="H27" s="8">
        <v>7.14</v>
      </c>
      <c r="I27" s="12">
        <v>0</v>
      </c>
    </row>
    <row r="28" spans="2:9" ht="15" customHeight="1" x14ac:dyDescent="0.2">
      <c r="B28" t="s">
        <v>106</v>
      </c>
      <c r="C28" s="12">
        <v>1071</v>
      </c>
      <c r="D28" s="8">
        <v>5.13</v>
      </c>
      <c r="E28" s="12">
        <v>418</v>
      </c>
      <c r="F28" s="8">
        <v>5.7</v>
      </c>
      <c r="G28" s="12">
        <v>653</v>
      </c>
      <c r="H28" s="8">
        <v>4.8600000000000003</v>
      </c>
      <c r="I28" s="12">
        <v>0</v>
      </c>
    </row>
    <row r="29" spans="2:9" ht="15" customHeight="1" x14ac:dyDescent="0.2">
      <c r="B29" t="s">
        <v>98</v>
      </c>
      <c r="C29" s="12">
        <v>989</v>
      </c>
      <c r="D29" s="8">
        <v>4.74</v>
      </c>
      <c r="E29" s="12">
        <v>189</v>
      </c>
      <c r="F29" s="8">
        <v>2.58</v>
      </c>
      <c r="G29" s="12">
        <v>799</v>
      </c>
      <c r="H29" s="8">
        <v>5.94</v>
      </c>
      <c r="I29" s="12">
        <v>1</v>
      </c>
    </row>
    <row r="30" spans="2:9" ht="15" customHeight="1" x14ac:dyDescent="0.2">
      <c r="B30" t="s">
        <v>114</v>
      </c>
      <c r="C30" s="12">
        <v>957</v>
      </c>
      <c r="D30" s="8">
        <v>4.59</v>
      </c>
      <c r="E30" s="12">
        <v>544</v>
      </c>
      <c r="F30" s="8">
        <v>7.41</v>
      </c>
      <c r="G30" s="12">
        <v>361</v>
      </c>
      <c r="H30" s="8">
        <v>2.69</v>
      </c>
      <c r="I30" s="12">
        <v>1</v>
      </c>
    </row>
    <row r="31" spans="2:9" ht="15" customHeight="1" x14ac:dyDescent="0.2">
      <c r="B31" t="s">
        <v>109</v>
      </c>
      <c r="C31" s="12">
        <v>942</v>
      </c>
      <c r="D31" s="8">
        <v>4.51</v>
      </c>
      <c r="E31" s="12">
        <v>503</v>
      </c>
      <c r="F31" s="8">
        <v>6.85</v>
      </c>
      <c r="G31" s="12">
        <v>439</v>
      </c>
      <c r="H31" s="8">
        <v>3.27</v>
      </c>
      <c r="I31" s="12">
        <v>0</v>
      </c>
    </row>
    <row r="32" spans="2:9" ht="15" customHeight="1" x14ac:dyDescent="0.2">
      <c r="B32" t="s">
        <v>115</v>
      </c>
      <c r="C32" s="12">
        <v>855</v>
      </c>
      <c r="D32" s="8">
        <v>4.0999999999999996</v>
      </c>
      <c r="E32" s="12">
        <v>729</v>
      </c>
      <c r="F32" s="8">
        <v>9.93</v>
      </c>
      <c r="G32" s="12">
        <v>126</v>
      </c>
      <c r="H32" s="8">
        <v>0.94</v>
      </c>
      <c r="I32" s="12">
        <v>0</v>
      </c>
    </row>
    <row r="33" spans="2:9" ht="15" customHeight="1" x14ac:dyDescent="0.2">
      <c r="B33" t="s">
        <v>99</v>
      </c>
      <c r="C33" s="12">
        <v>838</v>
      </c>
      <c r="D33" s="8">
        <v>4.0199999999999996</v>
      </c>
      <c r="E33" s="12">
        <v>74</v>
      </c>
      <c r="F33" s="8">
        <v>1.01</v>
      </c>
      <c r="G33" s="12">
        <v>764</v>
      </c>
      <c r="H33" s="8">
        <v>5.68</v>
      </c>
      <c r="I33" s="12">
        <v>0</v>
      </c>
    </row>
    <row r="34" spans="2:9" ht="15" customHeight="1" x14ac:dyDescent="0.2">
      <c r="B34" t="s">
        <v>104</v>
      </c>
      <c r="C34" s="12">
        <v>654</v>
      </c>
      <c r="D34" s="8">
        <v>3.13</v>
      </c>
      <c r="E34" s="12">
        <v>328</v>
      </c>
      <c r="F34" s="8">
        <v>4.47</v>
      </c>
      <c r="G34" s="12">
        <v>324</v>
      </c>
      <c r="H34" s="8">
        <v>2.41</v>
      </c>
      <c r="I34" s="12">
        <v>2</v>
      </c>
    </row>
    <row r="35" spans="2:9" ht="15" customHeight="1" x14ac:dyDescent="0.2">
      <c r="B35" t="s">
        <v>110</v>
      </c>
      <c r="C35" s="12">
        <v>611</v>
      </c>
      <c r="D35" s="8">
        <v>2.93</v>
      </c>
      <c r="E35" s="12">
        <v>129</v>
      </c>
      <c r="F35" s="8">
        <v>1.76</v>
      </c>
      <c r="G35" s="12">
        <v>477</v>
      </c>
      <c r="H35" s="8">
        <v>3.55</v>
      </c>
      <c r="I35" s="12">
        <v>2</v>
      </c>
    </row>
    <row r="36" spans="2:9" ht="15" customHeight="1" x14ac:dyDescent="0.2">
      <c r="B36" t="s">
        <v>107</v>
      </c>
      <c r="C36" s="12">
        <v>516</v>
      </c>
      <c r="D36" s="8">
        <v>2.4700000000000002</v>
      </c>
      <c r="E36" s="12">
        <v>23</v>
      </c>
      <c r="F36" s="8">
        <v>0.31</v>
      </c>
      <c r="G36" s="12">
        <v>493</v>
      </c>
      <c r="H36" s="8">
        <v>3.67</v>
      </c>
      <c r="I36" s="12">
        <v>0</v>
      </c>
    </row>
    <row r="37" spans="2:9" ht="15" customHeight="1" x14ac:dyDescent="0.2">
      <c r="B37" t="s">
        <v>103</v>
      </c>
      <c r="C37" s="12">
        <v>432</v>
      </c>
      <c r="D37" s="8">
        <v>2.0699999999999998</v>
      </c>
      <c r="E37" s="12">
        <v>129</v>
      </c>
      <c r="F37" s="8">
        <v>1.76</v>
      </c>
      <c r="G37" s="12">
        <v>303</v>
      </c>
      <c r="H37" s="8">
        <v>2.25</v>
      </c>
      <c r="I37" s="12">
        <v>0</v>
      </c>
    </row>
    <row r="38" spans="2:9" ht="15" customHeight="1" x14ac:dyDescent="0.2">
      <c r="B38" t="s">
        <v>105</v>
      </c>
      <c r="C38" s="12">
        <v>411</v>
      </c>
      <c r="D38" s="8">
        <v>1.97</v>
      </c>
      <c r="E38" s="12">
        <v>153</v>
      </c>
      <c r="F38" s="8">
        <v>2.09</v>
      </c>
      <c r="G38" s="12">
        <v>258</v>
      </c>
      <c r="H38" s="8">
        <v>1.92</v>
      </c>
      <c r="I38" s="12">
        <v>0</v>
      </c>
    </row>
    <row r="39" spans="2:9" ht="15" customHeight="1" x14ac:dyDescent="0.2">
      <c r="B39" t="s">
        <v>118</v>
      </c>
      <c r="C39" s="12">
        <v>389</v>
      </c>
      <c r="D39" s="8">
        <v>1.86</v>
      </c>
      <c r="E39" s="12">
        <v>3</v>
      </c>
      <c r="F39" s="8">
        <v>0.04</v>
      </c>
      <c r="G39" s="12">
        <v>380</v>
      </c>
      <c r="H39" s="8">
        <v>2.83</v>
      </c>
      <c r="I39" s="12">
        <v>5</v>
      </c>
    </row>
    <row r="40" spans="2:9" ht="15" customHeight="1" x14ac:dyDescent="0.2">
      <c r="B40" t="s">
        <v>102</v>
      </c>
      <c r="C40" s="12">
        <v>381</v>
      </c>
      <c r="D40" s="8">
        <v>1.83</v>
      </c>
      <c r="E40" s="12">
        <v>12</v>
      </c>
      <c r="F40" s="8">
        <v>0.16</v>
      </c>
      <c r="G40" s="12">
        <v>369</v>
      </c>
      <c r="H40" s="8">
        <v>2.75</v>
      </c>
      <c r="I40" s="12">
        <v>0</v>
      </c>
    </row>
    <row r="41" spans="2:9" ht="15" customHeight="1" x14ac:dyDescent="0.2">
      <c r="B41" t="s">
        <v>117</v>
      </c>
      <c r="C41" s="12">
        <v>357</v>
      </c>
      <c r="D41" s="8">
        <v>1.71</v>
      </c>
      <c r="E41" s="12">
        <v>40</v>
      </c>
      <c r="F41" s="8">
        <v>0.55000000000000004</v>
      </c>
      <c r="G41" s="12">
        <v>316</v>
      </c>
      <c r="H41" s="8">
        <v>2.35</v>
      </c>
      <c r="I41" s="12">
        <v>1</v>
      </c>
    </row>
    <row r="42" spans="2:9" ht="15" customHeight="1" x14ac:dyDescent="0.2">
      <c r="B42" t="s">
        <v>113</v>
      </c>
      <c r="C42" s="12">
        <v>325</v>
      </c>
      <c r="D42" s="8">
        <v>1.56</v>
      </c>
      <c r="E42" s="12">
        <v>101</v>
      </c>
      <c r="F42" s="8">
        <v>1.38</v>
      </c>
      <c r="G42" s="12">
        <v>223</v>
      </c>
      <c r="H42" s="8">
        <v>1.66</v>
      </c>
      <c r="I42" s="12">
        <v>0</v>
      </c>
    </row>
    <row r="43" spans="2:9" ht="15" customHeight="1" x14ac:dyDescent="0.2">
      <c r="B43" t="s">
        <v>119</v>
      </c>
      <c r="C43" s="12">
        <v>292</v>
      </c>
      <c r="D43" s="8">
        <v>1.4</v>
      </c>
      <c r="E43" s="12">
        <v>14</v>
      </c>
      <c r="F43" s="8">
        <v>0.19</v>
      </c>
      <c r="G43" s="12">
        <v>271</v>
      </c>
      <c r="H43" s="8">
        <v>2.02</v>
      </c>
      <c r="I43" s="12">
        <v>7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167</v>
      </c>
      <c r="C47" s="12">
        <v>1066</v>
      </c>
      <c r="D47" s="8">
        <v>5.1100000000000003</v>
      </c>
      <c r="E47" s="12">
        <v>367</v>
      </c>
      <c r="F47" s="8">
        <v>5</v>
      </c>
      <c r="G47" s="12">
        <v>699</v>
      </c>
      <c r="H47" s="8">
        <v>5.2</v>
      </c>
      <c r="I47" s="12">
        <v>0</v>
      </c>
    </row>
    <row r="48" spans="2:9" ht="15" customHeight="1" x14ac:dyDescent="0.2">
      <c r="B48" t="s">
        <v>173</v>
      </c>
      <c r="C48" s="12">
        <v>861</v>
      </c>
      <c r="D48" s="8">
        <v>4.13</v>
      </c>
      <c r="E48" s="12">
        <v>677</v>
      </c>
      <c r="F48" s="8">
        <v>9.23</v>
      </c>
      <c r="G48" s="12">
        <v>184</v>
      </c>
      <c r="H48" s="8">
        <v>1.37</v>
      </c>
      <c r="I48" s="12">
        <v>0</v>
      </c>
    </row>
    <row r="49" spans="2:9" ht="15" customHeight="1" x14ac:dyDescent="0.2">
      <c r="B49" t="s">
        <v>175</v>
      </c>
      <c r="C49" s="12">
        <v>605</v>
      </c>
      <c r="D49" s="8">
        <v>2.9</v>
      </c>
      <c r="E49" s="12">
        <v>521</v>
      </c>
      <c r="F49" s="8">
        <v>7.1</v>
      </c>
      <c r="G49" s="12">
        <v>84</v>
      </c>
      <c r="H49" s="8">
        <v>0.62</v>
      </c>
      <c r="I49" s="12">
        <v>0</v>
      </c>
    </row>
    <row r="50" spans="2:9" ht="15" customHeight="1" x14ac:dyDescent="0.2">
      <c r="B50" t="s">
        <v>174</v>
      </c>
      <c r="C50" s="12">
        <v>578</v>
      </c>
      <c r="D50" s="8">
        <v>2.77</v>
      </c>
      <c r="E50" s="12">
        <v>402</v>
      </c>
      <c r="F50" s="8">
        <v>5.48</v>
      </c>
      <c r="G50" s="12">
        <v>176</v>
      </c>
      <c r="H50" s="8">
        <v>1.31</v>
      </c>
      <c r="I50" s="12">
        <v>0</v>
      </c>
    </row>
    <row r="51" spans="2:9" ht="15" customHeight="1" x14ac:dyDescent="0.2">
      <c r="B51" t="s">
        <v>172</v>
      </c>
      <c r="C51" s="12">
        <v>555</v>
      </c>
      <c r="D51" s="8">
        <v>2.66</v>
      </c>
      <c r="E51" s="12">
        <v>495</v>
      </c>
      <c r="F51" s="8">
        <v>6.75</v>
      </c>
      <c r="G51" s="12">
        <v>60</v>
      </c>
      <c r="H51" s="8">
        <v>0.45</v>
      </c>
      <c r="I51" s="12">
        <v>0</v>
      </c>
    </row>
    <row r="52" spans="2:9" ht="15" customHeight="1" x14ac:dyDescent="0.2">
      <c r="B52" t="s">
        <v>166</v>
      </c>
      <c r="C52" s="12">
        <v>490</v>
      </c>
      <c r="D52" s="8">
        <v>2.35</v>
      </c>
      <c r="E52" s="12">
        <v>52</v>
      </c>
      <c r="F52" s="8">
        <v>0.71</v>
      </c>
      <c r="G52" s="12">
        <v>438</v>
      </c>
      <c r="H52" s="8">
        <v>3.26</v>
      </c>
      <c r="I52" s="12">
        <v>0</v>
      </c>
    </row>
    <row r="53" spans="2:9" ht="15" customHeight="1" x14ac:dyDescent="0.2">
      <c r="B53" t="s">
        <v>168</v>
      </c>
      <c r="C53" s="12">
        <v>487</v>
      </c>
      <c r="D53" s="8">
        <v>2.33</v>
      </c>
      <c r="E53" s="12">
        <v>17</v>
      </c>
      <c r="F53" s="8">
        <v>0.23</v>
      </c>
      <c r="G53" s="12">
        <v>468</v>
      </c>
      <c r="H53" s="8">
        <v>3.48</v>
      </c>
      <c r="I53" s="12">
        <v>1</v>
      </c>
    </row>
    <row r="54" spans="2:9" ht="15" customHeight="1" x14ac:dyDescent="0.2">
      <c r="B54" t="s">
        <v>169</v>
      </c>
      <c r="C54" s="12">
        <v>452</v>
      </c>
      <c r="D54" s="8">
        <v>2.17</v>
      </c>
      <c r="E54" s="12">
        <v>338</v>
      </c>
      <c r="F54" s="8">
        <v>4.6100000000000003</v>
      </c>
      <c r="G54" s="12">
        <v>114</v>
      </c>
      <c r="H54" s="8">
        <v>0.85</v>
      </c>
      <c r="I54" s="12">
        <v>0</v>
      </c>
    </row>
    <row r="55" spans="2:9" ht="15" customHeight="1" x14ac:dyDescent="0.2">
      <c r="B55" t="s">
        <v>170</v>
      </c>
      <c r="C55" s="12">
        <v>430</v>
      </c>
      <c r="D55" s="8">
        <v>2.06</v>
      </c>
      <c r="E55" s="12">
        <v>352</v>
      </c>
      <c r="F55" s="8">
        <v>4.8</v>
      </c>
      <c r="G55" s="12">
        <v>78</v>
      </c>
      <c r="H55" s="8">
        <v>0.57999999999999996</v>
      </c>
      <c r="I55" s="12">
        <v>0</v>
      </c>
    </row>
    <row r="56" spans="2:9" ht="15" customHeight="1" x14ac:dyDescent="0.2">
      <c r="B56" t="s">
        <v>178</v>
      </c>
      <c r="C56" s="12">
        <v>416</v>
      </c>
      <c r="D56" s="8">
        <v>1.99</v>
      </c>
      <c r="E56" s="12">
        <v>73</v>
      </c>
      <c r="F56" s="8">
        <v>0.99</v>
      </c>
      <c r="G56" s="12">
        <v>339</v>
      </c>
      <c r="H56" s="8">
        <v>2.52</v>
      </c>
      <c r="I56" s="12">
        <v>1</v>
      </c>
    </row>
    <row r="57" spans="2:9" ht="15" customHeight="1" x14ac:dyDescent="0.2">
      <c r="B57" t="s">
        <v>165</v>
      </c>
      <c r="C57" s="12">
        <v>368</v>
      </c>
      <c r="D57" s="8">
        <v>1.76</v>
      </c>
      <c r="E57" s="12">
        <v>21</v>
      </c>
      <c r="F57" s="8">
        <v>0.28999999999999998</v>
      </c>
      <c r="G57" s="12">
        <v>347</v>
      </c>
      <c r="H57" s="8">
        <v>2.58</v>
      </c>
      <c r="I57" s="12">
        <v>0</v>
      </c>
    </row>
    <row r="58" spans="2:9" ht="15" customHeight="1" x14ac:dyDescent="0.2">
      <c r="B58" t="s">
        <v>164</v>
      </c>
      <c r="C58" s="12">
        <v>348</v>
      </c>
      <c r="D58" s="8">
        <v>1.67</v>
      </c>
      <c r="E58" s="12">
        <v>171</v>
      </c>
      <c r="F58" s="8">
        <v>2.33</v>
      </c>
      <c r="G58" s="12">
        <v>177</v>
      </c>
      <c r="H58" s="8">
        <v>1.32</v>
      </c>
      <c r="I58" s="12">
        <v>0</v>
      </c>
    </row>
    <row r="59" spans="2:9" ht="15" customHeight="1" x14ac:dyDescent="0.2">
      <c r="B59" t="s">
        <v>161</v>
      </c>
      <c r="C59" s="12">
        <v>343</v>
      </c>
      <c r="D59" s="8">
        <v>1.64</v>
      </c>
      <c r="E59" s="12">
        <v>31</v>
      </c>
      <c r="F59" s="8">
        <v>0.42</v>
      </c>
      <c r="G59" s="12">
        <v>312</v>
      </c>
      <c r="H59" s="8">
        <v>2.3199999999999998</v>
      </c>
      <c r="I59" s="12">
        <v>0</v>
      </c>
    </row>
    <row r="60" spans="2:9" ht="15" customHeight="1" x14ac:dyDescent="0.2">
      <c r="B60" t="s">
        <v>171</v>
      </c>
      <c r="C60" s="12">
        <v>341</v>
      </c>
      <c r="D60" s="8">
        <v>1.63</v>
      </c>
      <c r="E60" s="12">
        <v>168</v>
      </c>
      <c r="F60" s="8">
        <v>2.29</v>
      </c>
      <c r="G60" s="12">
        <v>173</v>
      </c>
      <c r="H60" s="8">
        <v>1.29</v>
      </c>
      <c r="I60" s="12">
        <v>0</v>
      </c>
    </row>
    <row r="61" spans="2:9" ht="15" customHeight="1" x14ac:dyDescent="0.2">
      <c r="B61" t="s">
        <v>160</v>
      </c>
      <c r="C61" s="12">
        <v>308</v>
      </c>
      <c r="D61" s="8">
        <v>1.48</v>
      </c>
      <c r="E61" s="12">
        <v>39</v>
      </c>
      <c r="F61" s="8">
        <v>0.53</v>
      </c>
      <c r="G61" s="12">
        <v>269</v>
      </c>
      <c r="H61" s="8">
        <v>2</v>
      </c>
      <c r="I61" s="12">
        <v>0</v>
      </c>
    </row>
    <row r="62" spans="2:9" ht="15" customHeight="1" x14ac:dyDescent="0.2">
      <c r="B62" t="s">
        <v>177</v>
      </c>
      <c r="C62" s="12">
        <v>290</v>
      </c>
      <c r="D62" s="8">
        <v>1.39</v>
      </c>
      <c r="E62" s="12">
        <v>33</v>
      </c>
      <c r="F62" s="8">
        <v>0.45</v>
      </c>
      <c r="G62" s="12">
        <v>257</v>
      </c>
      <c r="H62" s="8">
        <v>1.91</v>
      </c>
      <c r="I62" s="12">
        <v>0</v>
      </c>
    </row>
    <row r="63" spans="2:9" ht="15" customHeight="1" x14ac:dyDescent="0.2">
      <c r="B63" t="s">
        <v>158</v>
      </c>
      <c r="C63" s="12">
        <v>282</v>
      </c>
      <c r="D63" s="8">
        <v>1.35</v>
      </c>
      <c r="E63" s="12">
        <v>24</v>
      </c>
      <c r="F63" s="8">
        <v>0.33</v>
      </c>
      <c r="G63" s="12">
        <v>258</v>
      </c>
      <c r="H63" s="8">
        <v>1.92</v>
      </c>
      <c r="I63" s="12">
        <v>0</v>
      </c>
    </row>
    <row r="64" spans="2:9" ht="15" customHeight="1" x14ac:dyDescent="0.2">
      <c r="B64" t="s">
        <v>179</v>
      </c>
      <c r="C64" s="12">
        <v>280</v>
      </c>
      <c r="D64" s="8">
        <v>1.34</v>
      </c>
      <c r="E64" s="12">
        <v>140</v>
      </c>
      <c r="F64" s="8">
        <v>1.91</v>
      </c>
      <c r="G64" s="12">
        <v>140</v>
      </c>
      <c r="H64" s="8">
        <v>1.04</v>
      </c>
      <c r="I64" s="12">
        <v>0</v>
      </c>
    </row>
    <row r="65" spans="2:9" ht="15" customHeight="1" x14ac:dyDescent="0.2">
      <c r="B65" t="s">
        <v>159</v>
      </c>
      <c r="C65" s="12">
        <v>257</v>
      </c>
      <c r="D65" s="8">
        <v>1.23</v>
      </c>
      <c r="E65" s="12">
        <v>62</v>
      </c>
      <c r="F65" s="8">
        <v>0.84</v>
      </c>
      <c r="G65" s="12">
        <v>195</v>
      </c>
      <c r="H65" s="8">
        <v>1.45</v>
      </c>
      <c r="I65" s="12">
        <v>0</v>
      </c>
    </row>
    <row r="66" spans="2:9" ht="15" customHeight="1" x14ac:dyDescent="0.2">
      <c r="B66" t="s">
        <v>162</v>
      </c>
      <c r="C66" s="12">
        <v>253</v>
      </c>
      <c r="D66" s="8">
        <v>1.21</v>
      </c>
      <c r="E66" s="12">
        <v>117</v>
      </c>
      <c r="F66" s="8">
        <v>1.59</v>
      </c>
      <c r="G66" s="12">
        <v>135</v>
      </c>
      <c r="H66" s="8">
        <v>1</v>
      </c>
      <c r="I66" s="12">
        <v>1</v>
      </c>
    </row>
    <row r="68" spans="2:9" ht="15" customHeight="1" x14ac:dyDescent="0.2">
      <c r="B68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247CC-3929-464D-8647-6289EEA9B394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327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64</v>
      </c>
      <c r="D6" s="8">
        <v>21.92</v>
      </c>
      <c r="E6" s="12">
        <v>27</v>
      </c>
      <c r="F6" s="8">
        <v>16.27</v>
      </c>
      <c r="G6" s="12">
        <v>37</v>
      </c>
      <c r="H6" s="8">
        <v>29.6</v>
      </c>
      <c r="I6" s="12">
        <v>0</v>
      </c>
    </row>
    <row r="7" spans="2:9" ht="15" customHeight="1" x14ac:dyDescent="0.2">
      <c r="B7" t="s">
        <v>76</v>
      </c>
      <c r="C7" s="12">
        <v>22</v>
      </c>
      <c r="D7" s="8">
        <v>7.53</v>
      </c>
      <c r="E7" s="12">
        <v>9</v>
      </c>
      <c r="F7" s="8">
        <v>5.42</v>
      </c>
      <c r="G7" s="12">
        <v>13</v>
      </c>
      <c r="H7" s="8">
        <v>10.4</v>
      </c>
      <c r="I7" s="12">
        <v>0</v>
      </c>
    </row>
    <row r="8" spans="2:9" ht="15" customHeight="1" x14ac:dyDescent="0.2">
      <c r="B8" t="s">
        <v>77</v>
      </c>
      <c r="C8" s="12">
        <v>1</v>
      </c>
      <c r="D8" s="8">
        <v>0.34</v>
      </c>
      <c r="E8" s="12">
        <v>0</v>
      </c>
      <c r="F8" s="8">
        <v>0</v>
      </c>
      <c r="G8" s="12">
        <v>1</v>
      </c>
      <c r="H8" s="8">
        <v>0.8</v>
      </c>
      <c r="I8" s="12">
        <v>0</v>
      </c>
    </row>
    <row r="9" spans="2:9" ht="15" customHeight="1" x14ac:dyDescent="0.2">
      <c r="B9" t="s">
        <v>78</v>
      </c>
      <c r="C9" s="12">
        <v>3</v>
      </c>
      <c r="D9" s="8">
        <v>1.03</v>
      </c>
      <c r="E9" s="12">
        <v>0</v>
      </c>
      <c r="F9" s="8">
        <v>0</v>
      </c>
      <c r="G9" s="12">
        <v>3</v>
      </c>
      <c r="H9" s="8">
        <v>2.4</v>
      </c>
      <c r="I9" s="12">
        <v>0</v>
      </c>
    </row>
    <row r="10" spans="2:9" ht="15" customHeight="1" x14ac:dyDescent="0.2">
      <c r="B10" t="s">
        <v>79</v>
      </c>
      <c r="C10" s="12">
        <v>3</v>
      </c>
      <c r="D10" s="8">
        <v>1.03</v>
      </c>
      <c r="E10" s="12">
        <v>0</v>
      </c>
      <c r="F10" s="8">
        <v>0</v>
      </c>
      <c r="G10" s="12">
        <v>3</v>
      </c>
      <c r="H10" s="8">
        <v>2.4</v>
      </c>
      <c r="I10" s="12">
        <v>0</v>
      </c>
    </row>
    <row r="11" spans="2:9" ht="15" customHeight="1" x14ac:dyDescent="0.2">
      <c r="B11" t="s">
        <v>80</v>
      </c>
      <c r="C11" s="12">
        <v>50</v>
      </c>
      <c r="D11" s="8">
        <v>17.12</v>
      </c>
      <c r="E11" s="12">
        <v>29</v>
      </c>
      <c r="F11" s="8">
        <v>17.47</v>
      </c>
      <c r="G11" s="12">
        <v>21</v>
      </c>
      <c r="H11" s="8">
        <v>16.8</v>
      </c>
      <c r="I11" s="12">
        <v>0</v>
      </c>
    </row>
    <row r="12" spans="2:9" ht="15" customHeight="1" x14ac:dyDescent="0.2">
      <c r="B12" t="s">
        <v>81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82</v>
      </c>
      <c r="C13" s="12">
        <v>26</v>
      </c>
      <c r="D13" s="8">
        <v>8.9</v>
      </c>
      <c r="E13" s="12">
        <v>10</v>
      </c>
      <c r="F13" s="8">
        <v>6.02</v>
      </c>
      <c r="G13" s="12">
        <v>16</v>
      </c>
      <c r="H13" s="8">
        <v>12.8</v>
      </c>
      <c r="I13" s="12">
        <v>0</v>
      </c>
    </row>
    <row r="14" spans="2:9" ht="15" customHeight="1" x14ac:dyDescent="0.2">
      <c r="B14" t="s">
        <v>83</v>
      </c>
      <c r="C14" s="12">
        <v>12</v>
      </c>
      <c r="D14" s="8">
        <v>4.1100000000000003</v>
      </c>
      <c r="E14" s="12">
        <v>5</v>
      </c>
      <c r="F14" s="8">
        <v>3.01</v>
      </c>
      <c r="G14" s="12">
        <v>7</v>
      </c>
      <c r="H14" s="8">
        <v>5.6</v>
      </c>
      <c r="I14" s="12">
        <v>0</v>
      </c>
    </row>
    <row r="15" spans="2:9" ht="15" customHeight="1" x14ac:dyDescent="0.2">
      <c r="B15" t="s">
        <v>84</v>
      </c>
      <c r="C15" s="12">
        <v>34</v>
      </c>
      <c r="D15" s="8">
        <v>11.64</v>
      </c>
      <c r="E15" s="12">
        <v>27</v>
      </c>
      <c r="F15" s="8">
        <v>16.27</v>
      </c>
      <c r="G15" s="12">
        <v>7</v>
      </c>
      <c r="H15" s="8">
        <v>5.6</v>
      </c>
      <c r="I15" s="12">
        <v>0</v>
      </c>
    </row>
    <row r="16" spans="2:9" ht="15" customHeight="1" x14ac:dyDescent="0.2">
      <c r="B16" t="s">
        <v>85</v>
      </c>
      <c r="C16" s="12">
        <v>48</v>
      </c>
      <c r="D16" s="8">
        <v>16.440000000000001</v>
      </c>
      <c r="E16" s="12">
        <v>41</v>
      </c>
      <c r="F16" s="8">
        <v>24.7</v>
      </c>
      <c r="G16" s="12">
        <v>7</v>
      </c>
      <c r="H16" s="8">
        <v>5.6</v>
      </c>
      <c r="I16" s="12">
        <v>0</v>
      </c>
    </row>
    <row r="17" spans="2:9" ht="15" customHeight="1" x14ac:dyDescent="0.2">
      <c r="B17" t="s">
        <v>86</v>
      </c>
      <c r="C17" s="12">
        <v>5</v>
      </c>
      <c r="D17" s="8">
        <v>1.71</v>
      </c>
      <c r="E17" s="12">
        <v>4</v>
      </c>
      <c r="F17" s="8">
        <v>2.41</v>
      </c>
      <c r="G17" s="12">
        <v>1</v>
      </c>
      <c r="H17" s="8">
        <v>0.8</v>
      </c>
      <c r="I17" s="12">
        <v>0</v>
      </c>
    </row>
    <row r="18" spans="2:9" ht="15" customHeight="1" x14ac:dyDescent="0.2">
      <c r="B18" t="s">
        <v>87</v>
      </c>
      <c r="C18" s="12">
        <v>19</v>
      </c>
      <c r="D18" s="8">
        <v>6.51</v>
      </c>
      <c r="E18" s="12">
        <v>12</v>
      </c>
      <c r="F18" s="8">
        <v>7.23</v>
      </c>
      <c r="G18" s="12">
        <v>6</v>
      </c>
      <c r="H18" s="8">
        <v>4.8</v>
      </c>
      <c r="I18" s="12">
        <v>1</v>
      </c>
    </row>
    <row r="19" spans="2:9" ht="15" customHeight="1" x14ac:dyDescent="0.2">
      <c r="B19" t="s">
        <v>88</v>
      </c>
      <c r="C19" s="12">
        <v>5</v>
      </c>
      <c r="D19" s="8">
        <v>1.71</v>
      </c>
      <c r="E19" s="12">
        <v>2</v>
      </c>
      <c r="F19" s="8">
        <v>1.2</v>
      </c>
      <c r="G19" s="12">
        <v>3</v>
      </c>
      <c r="H19" s="8">
        <v>2.4</v>
      </c>
      <c r="I19" s="12">
        <v>0</v>
      </c>
    </row>
    <row r="20" spans="2:9" ht="15" customHeight="1" x14ac:dyDescent="0.2">
      <c r="B20" s="9" t="s">
        <v>269</v>
      </c>
      <c r="C20" s="12">
        <f>SUM(LTBL_11341[総数／事業所数])</f>
        <v>292</v>
      </c>
      <c r="E20" s="12">
        <f>SUBTOTAL(109,LTBL_11341[個人／事業所数])</f>
        <v>166</v>
      </c>
      <c r="G20" s="12">
        <f>SUBTOTAL(109,LTBL_11341[法人／事業所数])</f>
        <v>125</v>
      </c>
      <c r="I20" s="12">
        <f>SUBTOTAL(109,LTBL_11341[法人以外の団体／事業所数])</f>
        <v>1</v>
      </c>
    </row>
    <row r="21" spans="2:9" ht="15" customHeight="1" x14ac:dyDescent="0.2">
      <c r="E21" s="11">
        <f>LTBL_11341[[#Totals],[個人／事業所数]]/LTBL_11341[[#Totals],[総数／事業所数]]</f>
        <v>0.56849315068493156</v>
      </c>
      <c r="G21" s="11">
        <f>LTBL_11341[[#Totals],[法人／事業所数]]/LTBL_11341[[#Totals],[総数／事業所数]]</f>
        <v>0.42808219178082191</v>
      </c>
      <c r="I21" s="11">
        <f>LTBL_11341[[#Totals],[法人以外の団体／事業所数]]/LTBL_11341[[#Totals],[総数／事業所数]]</f>
        <v>3.4246575342465752E-3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42</v>
      </c>
      <c r="D24" s="8">
        <v>14.38</v>
      </c>
      <c r="E24" s="12">
        <v>39</v>
      </c>
      <c r="F24" s="8">
        <v>23.49</v>
      </c>
      <c r="G24" s="12">
        <v>3</v>
      </c>
      <c r="H24" s="8">
        <v>2.4</v>
      </c>
      <c r="I24" s="12">
        <v>0</v>
      </c>
    </row>
    <row r="25" spans="2:9" ht="15" customHeight="1" x14ac:dyDescent="0.2">
      <c r="B25" t="s">
        <v>111</v>
      </c>
      <c r="C25" s="12">
        <v>31</v>
      </c>
      <c r="D25" s="8">
        <v>10.62</v>
      </c>
      <c r="E25" s="12">
        <v>26</v>
      </c>
      <c r="F25" s="8">
        <v>15.66</v>
      </c>
      <c r="G25" s="12">
        <v>5</v>
      </c>
      <c r="H25" s="8">
        <v>4</v>
      </c>
      <c r="I25" s="12">
        <v>0</v>
      </c>
    </row>
    <row r="26" spans="2:9" ht="15" customHeight="1" x14ac:dyDescent="0.2">
      <c r="B26" t="s">
        <v>97</v>
      </c>
      <c r="C26" s="12">
        <v>26</v>
      </c>
      <c r="D26" s="8">
        <v>8.9</v>
      </c>
      <c r="E26" s="12">
        <v>4</v>
      </c>
      <c r="F26" s="8">
        <v>2.41</v>
      </c>
      <c r="G26" s="12">
        <v>22</v>
      </c>
      <c r="H26" s="8">
        <v>17.600000000000001</v>
      </c>
      <c r="I26" s="12">
        <v>0</v>
      </c>
    </row>
    <row r="27" spans="2:9" ht="15" customHeight="1" x14ac:dyDescent="0.2">
      <c r="B27" t="s">
        <v>98</v>
      </c>
      <c r="C27" s="12">
        <v>20</v>
      </c>
      <c r="D27" s="8">
        <v>6.85</v>
      </c>
      <c r="E27" s="12">
        <v>14</v>
      </c>
      <c r="F27" s="8">
        <v>8.43</v>
      </c>
      <c r="G27" s="12">
        <v>6</v>
      </c>
      <c r="H27" s="8">
        <v>4.8</v>
      </c>
      <c r="I27" s="12">
        <v>0</v>
      </c>
    </row>
    <row r="28" spans="2:9" ht="15" customHeight="1" x14ac:dyDescent="0.2">
      <c r="B28" t="s">
        <v>108</v>
      </c>
      <c r="C28" s="12">
        <v>19</v>
      </c>
      <c r="D28" s="8">
        <v>6.51</v>
      </c>
      <c r="E28" s="12">
        <v>9</v>
      </c>
      <c r="F28" s="8">
        <v>5.42</v>
      </c>
      <c r="G28" s="12">
        <v>10</v>
      </c>
      <c r="H28" s="8">
        <v>8</v>
      </c>
      <c r="I28" s="12">
        <v>0</v>
      </c>
    </row>
    <row r="29" spans="2:9" ht="15" customHeight="1" x14ac:dyDescent="0.2">
      <c r="B29" t="s">
        <v>99</v>
      </c>
      <c r="C29" s="12">
        <v>18</v>
      </c>
      <c r="D29" s="8">
        <v>6.16</v>
      </c>
      <c r="E29" s="12">
        <v>9</v>
      </c>
      <c r="F29" s="8">
        <v>5.42</v>
      </c>
      <c r="G29" s="12">
        <v>9</v>
      </c>
      <c r="H29" s="8">
        <v>7.2</v>
      </c>
      <c r="I29" s="12">
        <v>0</v>
      </c>
    </row>
    <row r="30" spans="2:9" ht="15" customHeight="1" x14ac:dyDescent="0.2">
      <c r="B30" t="s">
        <v>105</v>
      </c>
      <c r="C30" s="12">
        <v>15</v>
      </c>
      <c r="D30" s="8">
        <v>5.14</v>
      </c>
      <c r="E30" s="12">
        <v>14</v>
      </c>
      <c r="F30" s="8">
        <v>8.43</v>
      </c>
      <c r="G30" s="12">
        <v>1</v>
      </c>
      <c r="H30" s="8">
        <v>0.8</v>
      </c>
      <c r="I30" s="12">
        <v>0</v>
      </c>
    </row>
    <row r="31" spans="2:9" ht="15" customHeight="1" x14ac:dyDescent="0.2">
      <c r="B31" t="s">
        <v>115</v>
      </c>
      <c r="C31" s="12">
        <v>14</v>
      </c>
      <c r="D31" s="8">
        <v>4.79</v>
      </c>
      <c r="E31" s="12">
        <v>12</v>
      </c>
      <c r="F31" s="8">
        <v>7.23</v>
      </c>
      <c r="G31" s="12">
        <v>2</v>
      </c>
      <c r="H31" s="8">
        <v>1.6</v>
      </c>
      <c r="I31" s="12">
        <v>0</v>
      </c>
    </row>
    <row r="32" spans="2:9" ht="15" customHeight="1" x14ac:dyDescent="0.2">
      <c r="B32" t="s">
        <v>106</v>
      </c>
      <c r="C32" s="12">
        <v>12</v>
      </c>
      <c r="D32" s="8">
        <v>4.1100000000000003</v>
      </c>
      <c r="E32" s="12">
        <v>6</v>
      </c>
      <c r="F32" s="8">
        <v>3.61</v>
      </c>
      <c r="G32" s="12">
        <v>6</v>
      </c>
      <c r="H32" s="8">
        <v>4.8</v>
      </c>
      <c r="I32" s="12">
        <v>0</v>
      </c>
    </row>
    <row r="33" spans="2:9" ht="15" customHeight="1" x14ac:dyDescent="0.2">
      <c r="B33" t="s">
        <v>109</v>
      </c>
      <c r="C33" s="12">
        <v>7</v>
      </c>
      <c r="D33" s="8">
        <v>2.4</v>
      </c>
      <c r="E33" s="12">
        <v>4</v>
      </c>
      <c r="F33" s="8">
        <v>2.41</v>
      </c>
      <c r="G33" s="12">
        <v>3</v>
      </c>
      <c r="H33" s="8">
        <v>2.4</v>
      </c>
      <c r="I33" s="12">
        <v>0</v>
      </c>
    </row>
    <row r="34" spans="2:9" ht="15" customHeight="1" x14ac:dyDescent="0.2">
      <c r="B34" t="s">
        <v>122</v>
      </c>
      <c r="C34" s="12">
        <v>6</v>
      </c>
      <c r="D34" s="8">
        <v>2.0499999999999998</v>
      </c>
      <c r="E34" s="12">
        <v>1</v>
      </c>
      <c r="F34" s="8">
        <v>0.6</v>
      </c>
      <c r="G34" s="12">
        <v>5</v>
      </c>
      <c r="H34" s="8">
        <v>4</v>
      </c>
      <c r="I34" s="12">
        <v>0</v>
      </c>
    </row>
    <row r="35" spans="2:9" ht="15" customHeight="1" x14ac:dyDescent="0.2">
      <c r="B35" t="s">
        <v>104</v>
      </c>
      <c r="C35" s="12">
        <v>5</v>
      </c>
      <c r="D35" s="8">
        <v>1.71</v>
      </c>
      <c r="E35" s="12">
        <v>3</v>
      </c>
      <c r="F35" s="8">
        <v>1.81</v>
      </c>
      <c r="G35" s="12">
        <v>2</v>
      </c>
      <c r="H35" s="8">
        <v>1.6</v>
      </c>
      <c r="I35" s="12">
        <v>0</v>
      </c>
    </row>
    <row r="36" spans="2:9" ht="15" customHeight="1" x14ac:dyDescent="0.2">
      <c r="B36" t="s">
        <v>107</v>
      </c>
      <c r="C36" s="12">
        <v>5</v>
      </c>
      <c r="D36" s="8">
        <v>1.71</v>
      </c>
      <c r="E36" s="12">
        <v>1</v>
      </c>
      <c r="F36" s="8">
        <v>0.6</v>
      </c>
      <c r="G36" s="12">
        <v>4</v>
      </c>
      <c r="H36" s="8">
        <v>3.2</v>
      </c>
      <c r="I36" s="12">
        <v>0</v>
      </c>
    </row>
    <row r="37" spans="2:9" ht="15" customHeight="1" x14ac:dyDescent="0.2">
      <c r="B37" t="s">
        <v>110</v>
      </c>
      <c r="C37" s="12">
        <v>5</v>
      </c>
      <c r="D37" s="8">
        <v>1.71</v>
      </c>
      <c r="E37" s="12">
        <v>1</v>
      </c>
      <c r="F37" s="8">
        <v>0.6</v>
      </c>
      <c r="G37" s="12">
        <v>4</v>
      </c>
      <c r="H37" s="8">
        <v>3.2</v>
      </c>
      <c r="I37" s="12">
        <v>0</v>
      </c>
    </row>
    <row r="38" spans="2:9" ht="15" customHeight="1" x14ac:dyDescent="0.2">
      <c r="B38" t="s">
        <v>113</v>
      </c>
      <c r="C38" s="12">
        <v>5</v>
      </c>
      <c r="D38" s="8">
        <v>1.71</v>
      </c>
      <c r="E38" s="12">
        <v>2</v>
      </c>
      <c r="F38" s="8">
        <v>1.2</v>
      </c>
      <c r="G38" s="12">
        <v>3</v>
      </c>
      <c r="H38" s="8">
        <v>2.4</v>
      </c>
      <c r="I38" s="12">
        <v>0</v>
      </c>
    </row>
    <row r="39" spans="2:9" ht="15" customHeight="1" x14ac:dyDescent="0.2">
      <c r="B39" t="s">
        <v>114</v>
      </c>
      <c r="C39" s="12">
        <v>5</v>
      </c>
      <c r="D39" s="8">
        <v>1.71</v>
      </c>
      <c r="E39" s="12">
        <v>4</v>
      </c>
      <c r="F39" s="8">
        <v>2.41</v>
      </c>
      <c r="G39" s="12">
        <v>1</v>
      </c>
      <c r="H39" s="8">
        <v>0.8</v>
      </c>
      <c r="I39" s="12">
        <v>0</v>
      </c>
    </row>
    <row r="40" spans="2:9" ht="15" customHeight="1" x14ac:dyDescent="0.2">
      <c r="B40" t="s">
        <v>118</v>
      </c>
      <c r="C40" s="12">
        <v>5</v>
      </c>
      <c r="D40" s="8">
        <v>1.71</v>
      </c>
      <c r="E40" s="12">
        <v>0</v>
      </c>
      <c r="F40" s="8">
        <v>0</v>
      </c>
      <c r="G40" s="12">
        <v>4</v>
      </c>
      <c r="H40" s="8">
        <v>3.2</v>
      </c>
      <c r="I40" s="12">
        <v>1</v>
      </c>
    </row>
    <row r="41" spans="2:9" ht="15" customHeight="1" x14ac:dyDescent="0.2">
      <c r="B41" t="s">
        <v>101</v>
      </c>
      <c r="C41" s="12">
        <v>4</v>
      </c>
      <c r="D41" s="8">
        <v>1.37</v>
      </c>
      <c r="E41" s="12">
        <v>2</v>
      </c>
      <c r="F41" s="8">
        <v>1.2</v>
      </c>
      <c r="G41" s="12">
        <v>2</v>
      </c>
      <c r="H41" s="8">
        <v>1.6</v>
      </c>
      <c r="I41" s="12">
        <v>0</v>
      </c>
    </row>
    <row r="42" spans="2:9" ht="15" customHeight="1" x14ac:dyDescent="0.2">
      <c r="B42" t="s">
        <v>102</v>
      </c>
      <c r="C42" s="12">
        <v>4</v>
      </c>
      <c r="D42" s="8">
        <v>1.37</v>
      </c>
      <c r="E42" s="12">
        <v>0</v>
      </c>
      <c r="F42" s="8">
        <v>0</v>
      </c>
      <c r="G42" s="12">
        <v>4</v>
      </c>
      <c r="H42" s="8">
        <v>3.2</v>
      </c>
      <c r="I42" s="12">
        <v>0</v>
      </c>
    </row>
    <row r="43" spans="2:9" ht="15" customHeight="1" x14ac:dyDescent="0.2">
      <c r="B43" t="s">
        <v>100</v>
      </c>
      <c r="C43" s="12">
        <v>3</v>
      </c>
      <c r="D43" s="8">
        <v>1.03</v>
      </c>
      <c r="E43" s="12">
        <v>0</v>
      </c>
      <c r="F43" s="8">
        <v>0</v>
      </c>
      <c r="G43" s="12">
        <v>3</v>
      </c>
      <c r="H43" s="8">
        <v>2.4</v>
      </c>
      <c r="I43" s="12">
        <v>0</v>
      </c>
    </row>
    <row r="44" spans="2:9" ht="15" customHeight="1" x14ac:dyDescent="0.2">
      <c r="B44" t="s">
        <v>120</v>
      </c>
      <c r="C44" s="12">
        <v>3</v>
      </c>
      <c r="D44" s="8">
        <v>1.03</v>
      </c>
      <c r="E44" s="12">
        <v>1</v>
      </c>
      <c r="F44" s="8">
        <v>0.6</v>
      </c>
      <c r="G44" s="12">
        <v>2</v>
      </c>
      <c r="H44" s="8">
        <v>1.6</v>
      </c>
      <c r="I44" s="12">
        <v>0</v>
      </c>
    </row>
    <row r="45" spans="2:9" ht="15" customHeight="1" x14ac:dyDescent="0.2">
      <c r="B45" t="s">
        <v>134</v>
      </c>
      <c r="C45" s="12">
        <v>3</v>
      </c>
      <c r="D45" s="8">
        <v>1.03</v>
      </c>
      <c r="E45" s="12">
        <v>1</v>
      </c>
      <c r="F45" s="8">
        <v>0.6</v>
      </c>
      <c r="G45" s="12">
        <v>2</v>
      </c>
      <c r="H45" s="8">
        <v>1.6</v>
      </c>
      <c r="I45" s="12">
        <v>0</v>
      </c>
    </row>
    <row r="48" spans="2:9" ht="33" customHeight="1" x14ac:dyDescent="0.2">
      <c r="B48" t="s">
        <v>271</v>
      </c>
      <c r="C48" s="10" t="s">
        <v>90</v>
      </c>
      <c r="D48" s="10" t="s">
        <v>91</v>
      </c>
      <c r="E48" s="10" t="s">
        <v>92</v>
      </c>
      <c r="F48" s="10" t="s">
        <v>93</v>
      </c>
      <c r="G48" s="10" t="s">
        <v>94</v>
      </c>
      <c r="H48" s="10" t="s">
        <v>95</v>
      </c>
      <c r="I48" s="10" t="s">
        <v>96</v>
      </c>
    </row>
    <row r="49" spans="2:9" ht="15" customHeight="1" x14ac:dyDescent="0.2">
      <c r="B49" t="s">
        <v>173</v>
      </c>
      <c r="C49" s="12">
        <v>25</v>
      </c>
      <c r="D49" s="8">
        <v>8.56</v>
      </c>
      <c r="E49" s="12">
        <v>25</v>
      </c>
      <c r="F49" s="8">
        <v>15.06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163</v>
      </c>
      <c r="C50" s="12">
        <v>13</v>
      </c>
      <c r="D50" s="8">
        <v>4.45</v>
      </c>
      <c r="E50" s="12">
        <v>12</v>
      </c>
      <c r="F50" s="8">
        <v>7.23</v>
      </c>
      <c r="G50" s="12">
        <v>1</v>
      </c>
      <c r="H50" s="8">
        <v>0.8</v>
      </c>
      <c r="I50" s="12">
        <v>0</v>
      </c>
    </row>
    <row r="51" spans="2:9" ht="15" customHeight="1" x14ac:dyDescent="0.2">
      <c r="B51" t="s">
        <v>170</v>
      </c>
      <c r="C51" s="12">
        <v>13</v>
      </c>
      <c r="D51" s="8">
        <v>4.45</v>
      </c>
      <c r="E51" s="12">
        <v>13</v>
      </c>
      <c r="F51" s="8">
        <v>7.83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172</v>
      </c>
      <c r="C52" s="12">
        <v>12</v>
      </c>
      <c r="D52" s="8">
        <v>4.1100000000000003</v>
      </c>
      <c r="E52" s="12">
        <v>11</v>
      </c>
      <c r="F52" s="8">
        <v>6.63</v>
      </c>
      <c r="G52" s="12">
        <v>1</v>
      </c>
      <c r="H52" s="8">
        <v>0.8</v>
      </c>
      <c r="I52" s="12">
        <v>0</v>
      </c>
    </row>
    <row r="53" spans="2:9" ht="15" customHeight="1" x14ac:dyDescent="0.2">
      <c r="B53" t="s">
        <v>160</v>
      </c>
      <c r="C53" s="12">
        <v>10</v>
      </c>
      <c r="D53" s="8">
        <v>3.42</v>
      </c>
      <c r="E53" s="12">
        <v>4</v>
      </c>
      <c r="F53" s="8">
        <v>2.41</v>
      </c>
      <c r="G53" s="12">
        <v>6</v>
      </c>
      <c r="H53" s="8">
        <v>4.8</v>
      </c>
      <c r="I53" s="12">
        <v>0</v>
      </c>
    </row>
    <row r="54" spans="2:9" ht="15" customHeight="1" x14ac:dyDescent="0.2">
      <c r="B54" t="s">
        <v>175</v>
      </c>
      <c r="C54" s="12">
        <v>10</v>
      </c>
      <c r="D54" s="8">
        <v>3.42</v>
      </c>
      <c r="E54" s="12">
        <v>9</v>
      </c>
      <c r="F54" s="8">
        <v>5.42</v>
      </c>
      <c r="G54" s="12">
        <v>1</v>
      </c>
      <c r="H54" s="8">
        <v>0.8</v>
      </c>
      <c r="I54" s="12">
        <v>0</v>
      </c>
    </row>
    <row r="55" spans="2:9" ht="15" customHeight="1" x14ac:dyDescent="0.2">
      <c r="B55" t="s">
        <v>157</v>
      </c>
      <c r="C55" s="12">
        <v>8</v>
      </c>
      <c r="D55" s="8">
        <v>2.74</v>
      </c>
      <c r="E55" s="12">
        <v>0</v>
      </c>
      <c r="F55" s="8">
        <v>0</v>
      </c>
      <c r="G55" s="12">
        <v>8</v>
      </c>
      <c r="H55" s="8">
        <v>6.4</v>
      </c>
      <c r="I55" s="12">
        <v>0</v>
      </c>
    </row>
    <row r="56" spans="2:9" ht="15" customHeight="1" x14ac:dyDescent="0.2">
      <c r="B56" t="s">
        <v>158</v>
      </c>
      <c r="C56" s="12">
        <v>8</v>
      </c>
      <c r="D56" s="8">
        <v>2.74</v>
      </c>
      <c r="E56" s="12">
        <v>1</v>
      </c>
      <c r="F56" s="8">
        <v>0.6</v>
      </c>
      <c r="G56" s="12">
        <v>7</v>
      </c>
      <c r="H56" s="8">
        <v>5.6</v>
      </c>
      <c r="I56" s="12">
        <v>0</v>
      </c>
    </row>
    <row r="57" spans="2:9" ht="15" customHeight="1" x14ac:dyDescent="0.2">
      <c r="B57" t="s">
        <v>159</v>
      </c>
      <c r="C57" s="12">
        <v>8</v>
      </c>
      <c r="D57" s="8">
        <v>2.74</v>
      </c>
      <c r="E57" s="12">
        <v>3</v>
      </c>
      <c r="F57" s="8">
        <v>1.81</v>
      </c>
      <c r="G57" s="12">
        <v>5</v>
      </c>
      <c r="H57" s="8">
        <v>4</v>
      </c>
      <c r="I57" s="12">
        <v>0</v>
      </c>
    </row>
    <row r="58" spans="2:9" ht="15" customHeight="1" x14ac:dyDescent="0.2">
      <c r="B58" t="s">
        <v>189</v>
      </c>
      <c r="C58" s="12">
        <v>8</v>
      </c>
      <c r="D58" s="8">
        <v>2.74</v>
      </c>
      <c r="E58" s="12">
        <v>7</v>
      </c>
      <c r="F58" s="8">
        <v>4.22</v>
      </c>
      <c r="G58" s="12">
        <v>1</v>
      </c>
      <c r="H58" s="8">
        <v>0.8</v>
      </c>
      <c r="I58" s="12">
        <v>0</v>
      </c>
    </row>
    <row r="59" spans="2:9" ht="15" customHeight="1" x14ac:dyDescent="0.2">
      <c r="B59" t="s">
        <v>169</v>
      </c>
      <c r="C59" s="12">
        <v>8</v>
      </c>
      <c r="D59" s="8">
        <v>2.74</v>
      </c>
      <c r="E59" s="12">
        <v>5</v>
      </c>
      <c r="F59" s="8">
        <v>3.01</v>
      </c>
      <c r="G59" s="12">
        <v>3</v>
      </c>
      <c r="H59" s="8">
        <v>2.4</v>
      </c>
      <c r="I59" s="12">
        <v>0</v>
      </c>
    </row>
    <row r="60" spans="2:9" ht="15" customHeight="1" x14ac:dyDescent="0.2">
      <c r="B60" t="s">
        <v>161</v>
      </c>
      <c r="C60" s="12">
        <v>7</v>
      </c>
      <c r="D60" s="8">
        <v>2.4</v>
      </c>
      <c r="E60" s="12">
        <v>5</v>
      </c>
      <c r="F60" s="8">
        <v>3.01</v>
      </c>
      <c r="G60" s="12">
        <v>2</v>
      </c>
      <c r="H60" s="8">
        <v>1.6</v>
      </c>
      <c r="I60" s="12">
        <v>0</v>
      </c>
    </row>
    <row r="61" spans="2:9" ht="15" customHeight="1" x14ac:dyDescent="0.2">
      <c r="B61" t="s">
        <v>167</v>
      </c>
      <c r="C61" s="12">
        <v>7</v>
      </c>
      <c r="D61" s="8">
        <v>2.4</v>
      </c>
      <c r="E61" s="12">
        <v>2</v>
      </c>
      <c r="F61" s="8">
        <v>1.2</v>
      </c>
      <c r="G61" s="12">
        <v>5</v>
      </c>
      <c r="H61" s="8">
        <v>4</v>
      </c>
      <c r="I61" s="12">
        <v>0</v>
      </c>
    </row>
    <row r="62" spans="2:9" ht="15" customHeight="1" x14ac:dyDescent="0.2">
      <c r="B62" t="s">
        <v>181</v>
      </c>
      <c r="C62" s="12">
        <v>5</v>
      </c>
      <c r="D62" s="8">
        <v>1.71</v>
      </c>
      <c r="E62" s="12">
        <v>4</v>
      </c>
      <c r="F62" s="8">
        <v>2.41</v>
      </c>
      <c r="G62" s="12">
        <v>1</v>
      </c>
      <c r="H62" s="8">
        <v>0.8</v>
      </c>
      <c r="I62" s="12">
        <v>0</v>
      </c>
    </row>
    <row r="63" spans="2:9" ht="15" customHeight="1" x14ac:dyDescent="0.2">
      <c r="B63" t="s">
        <v>217</v>
      </c>
      <c r="C63" s="12">
        <v>5</v>
      </c>
      <c r="D63" s="8">
        <v>1.71</v>
      </c>
      <c r="E63" s="12">
        <v>0</v>
      </c>
      <c r="F63" s="8">
        <v>0</v>
      </c>
      <c r="G63" s="12">
        <v>5</v>
      </c>
      <c r="H63" s="8">
        <v>4</v>
      </c>
      <c r="I63" s="12">
        <v>0</v>
      </c>
    </row>
    <row r="64" spans="2:9" ht="15" customHeight="1" x14ac:dyDescent="0.2">
      <c r="B64" t="s">
        <v>178</v>
      </c>
      <c r="C64" s="12">
        <v>5</v>
      </c>
      <c r="D64" s="8">
        <v>1.71</v>
      </c>
      <c r="E64" s="12">
        <v>1</v>
      </c>
      <c r="F64" s="8">
        <v>0.6</v>
      </c>
      <c r="G64" s="12">
        <v>4</v>
      </c>
      <c r="H64" s="8">
        <v>3.2</v>
      </c>
      <c r="I64" s="12">
        <v>0</v>
      </c>
    </row>
    <row r="65" spans="2:9" ht="15" customHeight="1" x14ac:dyDescent="0.2">
      <c r="B65" t="s">
        <v>227</v>
      </c>
      <c r="C65" s="12">
        <v>4</v>
      </c>
      <c r="D65" s="8">
        <v>1.37</v>
      </c>
      <c r="E65" s="12">
        <v>3</v>
      </c>
      <c r="F65" s="8">
        <v>1.81</v>
      </c>
      <c r="G65" s="12">
        <v>1</v>
      </c>
      <c r="H65" s="8">
        <v>0.8</v>
      </c>
      <c r="I65" s="12">
        <v>0</v>
      </c>
    </row>
    <row r="66" spans="2:9" ht="15" customHeight="1" x14ac:dyDescent="0.2">
      <c r="B66" t="s">
        <v>205</v>
      </c>
      <c r="C66" s="12">
        <v>4</v>
      </c>
      <c r="D66" s="8">
        <v>1.37</v>
      </c>
      <c r="E66" s="12">
        <v>3</v>
      </c>
      <c r="F66" s="8">
        <v>1.81</v>
      </c>
      <c r="G66" s="12">
        <v>1</v>
      </c>
      <c r="H66" s="8">
        <v>0.8</v>
      </c>
      <c r="I66" s="12">
        <v>0</v>
      </c>
    </row>
    <row r="67" spans="2:9" ht="15" customHeight="1" x14ac:dyDescent="0.2">
      <c r="B67" t="s">
        <v>206</v>
      </c>
      <c r="C67" s="12">
        <v>4</v>
      </c>
      <c r="D67" s="8">
        <v>1.37</v>
      </c>
      <c r="E67" s="12">
        <v>3</v>
      </c>
      <c r="F67" s="8">
        <v>1.81</v>
      </c>
      <c r="G67" s="12">
        <v>1</v>
      </c>
      <c r="H67" s="8">
        <v>0.8</v>
      </c>
      <c r="I67" s="12">
        <v>0</v>
      </c>
    </row>
    <row r="68" spans="2:9" ht="15" customHeight="1" x14ac:dyDescent="0.2">
      <c r="B68" t="s">
        <v>171</v>
      </c>
      <c r="C68" s="12">
        <v>4</v>
      </c>
      <c r="D68" s="8">
        <v>1.37</v>
      </c>
      <c r="E68" s="12">
        <v>2</v>
      </c>
      <c r="F68" s="8">
        <v>1.2</v>
      </c>
      <c r="G68" s="12">
        <v>2</v>
      </c>
      <c r="H68" s="8">
        <v>1.6</v>
      </c>
      <c r="I68" s="12">
        <v>0</v>
      </c>
    </row>
    <row r="70" spans="2:9" ht="15" customHeight="1" x14ac:dyDescent="0.2">
      <c r="B70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75B71-0F49-4811-8C3F-88DCE73F3B38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328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91</v>
      </c>
      <c r="D6" s="8">
        <v>21.16</v>
      </c>
      <c r="E6" s="12">
        <v>41</v>
      </c>
      <c r="F6" s="8">
        <v>16.399999999999999</v>
      </c>
      <c r="G6" s="12">
        <v>50</v>
      </c>
      <c r="H6" s="8">
        <v>28.9</v>
      </c>
      <c r="I6" s="12">
        <v>0</v>
      </c>
    </row>
    <row r="7" spans="2:9" ht="15" customHeight="1" x14ac:dyDescent="0.2">
      <c r="B7" t="s">
        <v>76</v>
      </c>
      <c r="C7" s="12">
        <v>29</v>
      </c>
      <c r="D7" s="8">
        <v>6.74</v>
      </c>
      <c r="E7" s="12">
        <v>9</v>
      </c>
      <c r="F7" s="8">
        <v>3.6</v>
      </c>
      <c r="G7" s="12">
        <v>20</v>
      </c>
      <c r="H7" s="8">
        <v>11.56</v>
      </c>
      <c r="I7" s="12">
        <v>0</v>
      </c>
    </row>
    <row r="8" spans="2:9" ht="15" customHeight="1" x14ac:dyDescent="0.2">
      <c r="B8" t="s">
        <v>77</v>
      </c>
      <c r="C8" s="12">
        <v>1</v>
      </c>
      <c r="D8" s="8">
        <v>0.23</v>
      </c>
      <c r="E8" s="12">
        <v>0</v>
      </c>
      <c r="F8" s="8">
        <v>0</v>
      </c>
      <c r="G8" s="12">
        <v>1</v>
      </c>
      <c r="H8" s="8">
        <v>0.57999999999999996</v>
      </c>
      <c r="I8" s="12">
        <v>0</v>
      </c>
    </row>
    <row r="9" spans="2:9" ht="15" customHeight="1" x14ac:dyDescent="0.2">
      <c r="B9" t="s">
        <v>78</v>
      </c>
      <c r="C9" s="12">
        <v>6</v>
      </c>
      <c r="D9" s="8">
        <v>1.4</v>
      </c>
      <c r="E9" s="12">
        <v>1</v>
      </c>
      <c r="F9" s="8">
        <v>0.4</v>
      </c>
      <c r="G9" s="12">
        <v>5</v>
      </c>
      <c r="H9" s="8">
        <v>2.89</v>
      </c>
      <c r="I9" s="12">
        <v>0</v>
      </c>
    </row>
    <row r="10" spans="2:9" ht="15" customHeight="1" x14ac:dyDescent="0.2">
      <c r="B10" t="s">
        <v>79</v>
      </c>
      <c r="C10" s="12">
        <v>1</v>
      </c>
      <c r="D10" s="8">
        <v>0.23</v>
      </c>
      <c r="E10" s="12">
        <v>0</v>
      </c>
      <c r="F10" s="8">
        <v>0</v>
      </c>
      <c r="G10" s="12">
        <v>1</v>
      </c>
      <c r="H10" s="8">
        <v>0.57999999999999996</v>
      </c>
      <c r="I10" s="12">
        <v>0</v>
      </c>
    </row>
    <row r="11" spans="2:9" ht="15" customHeight="1" x14ac:dyDescent="0.2">
      <c r="B11" t="s">
        <v>80</v>
      </c>
      <c r="C11" s="12">
        <v>87</v>
      </c>
      <c r="D11" s="8">
        <v>20.23</v>
      </c>
      <c r="E11" s="12">
        <v>50</v>
      </c>
      <c r="F11" s="8">
        <v>20</v>
      </c>
      <c r="G11" s="12">
        <v>37</v>
      </c>
      <c r="H11" s="8">
        <v>21.39</v>
      </c>
      <c r="I11" s="12">
        <v>0</v>
      </c>
    </row>
    <row r="12" spans="2:9" ht="15" customHeight="1" x14ac:dyDescent="0.2">
      <c r="B12" t="s">
        <v>81</v>
      </c>
      <c r="C12" s="12">
        <v>1</v>
      </c>
      <c r="D12" s="8">
        <v>0.23</v>
      </c>
      <c r="E12" s="12">
        <v>1</v>
      </c>
      <c r="F12" s="8">
        <v>0.4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82</v>
      </c>
      <c r="C13" s="12">
        <v>42</v>
      </c>
      <c r="D13" s="8">
        <v>9.77</v>
      </c>
      <c r="E13" s="12">
        <v>31</v>
      </c>
      <c r="F13" s="8">
        <v>12.4</v>
      </c>
      <c r="G13" s="12">
        <v>10</v>
      </c>
      <c r="H13" s="8">
        <v>5.78</v>
      </c>
      <c r="I13" s="12">
        <v>1</v>
      </c>
    </row>
    <row r="14" spans="2:9" ht="15" customHeight="1" x14ac:dyDescent="0.2">
      <c r="B14" t="s">
        <v>83</v>
      </c>
      <c r="C14" s="12">
        <v>26</v>
      </c>
      <c r="D14" s="8">
        <v>6.05</v>
      </c>
      <c r="E14" s="12">
        <v>12</v>
      </c>
      <c r="F14" s="8">
        <v>4.8</v>
      </c>
      <c r="G14" s="12">
        <v>14</v>
      </c>
      <c r="H14" s="8">
        <v>8.09</v>
      </c>
      <c r="I14" s="12">
        <v>0</v>
      </c>
    </row>
    <row r="15" spans="2:9" ht="15" customHeight="1" x14ac:dyDescent="0.2">
      <c r="B15" t="s">
        <v>84</v>
      </c>
      <c r="C15" s="12">
        <v>51</v>
      </c>
      <c r="D15" s="8">
        <v>11.86</v>
      </c>
      <c r="E15" s="12">
        <v>42</v>
      </c>
      <c r="F15" s="8">
        <v>16.8</v>
      </c>
      <c r="G15" s="12">
        <v>8</v>
      </c>
      <c r="H15" s="8">
        <v>4.62</v>
      </c>
      <c r="I15" s="12">
        <v>0</v>
      </c>
    </row>
    <row r="16" spans="2:9" ht="15" customHeight="1" x14ac:dyDescent="0.2">
      <c r="B16" t="s">
        <v>85</v>
      </c>
      <c r="C16" s="12">
        <v>54</v>
      </c>
      <c r="D16" s="8">
        <v>12.56</v>
      </c>
      <c r="E16" s="12">
        <v>39</v>
      </c>
      <c r="F16" s="8">
        <v>15.6</v>
      </c>
      <c r="G16" s="12">
        <v>13</v>
      </c>
      <c r="H16" s="8">
        <v>7.51</v>
      </c>
      <c r="I16" s="12">
        <v>1</v>
      </c>
    </row>
    <row r="17" spans="2:9" ht="15" customHeight="1" x14ac:dyDescent="0.2">
      <c r="B17" t="s">
        <v>86</v>
      </c>
      <c r="C17" s="12">
        <v>16</v>
      </c>
      <c r="D17" s="8">
        <v>3.72</v>
      </c>
      <c r="E17" s="12">
        <v>12</v>
      </c>
      <c r="F17" s="8">
        <v>4.8</v>
      </c>
      <c r="G17" s="12">
        <v>3</v>
      </c>
      <c r="H17" s="8">
        <v>1.73</v>
      </c>
      <c r="I17" s="12">
        <v>0</v>
      </c>
    </row>
    <row r="18" spans="2:9" ht="15" customHeight="1" x14ac:dyDescent="0.2">
      <c r="B18" t="s">
        <v>87</v>
      </c>
      <c r="C18" s="12">
        <v>19</v>
      </c>
      <c r="D18" s="8">
        <v>4.42</v>
      </c>
      <c r="E18" s="12">
        <v>11</v>
      </c>
      <c r="F18" s="8">
        <v>4.4000000000000004</v>
      </c>
      <c r="G18" s="12">
        <v>6</v>
      </c>
      <c r="H18" s="8">
        <v>3.47</v>
      </c>
      <c r="I18" s="12">
        <v>0</v>
      </c>
    </row>
    <row r="19" spans="2:9" ht="15" customHeight="1" x14ac:dyDescent="0.2">
      <c r="B19" t="s">
        <v>88</v>
      </c>
      <c r="C19" s="12">
        <v>6</v>
      </c>
      <c r="D19" s="8">
        <v>1.4</v>
      </c>
      <c r="E19" s="12">
        <v>1</v>
      </c>
      <c r="F19" s="8">
        <v>0.4</v>
      </c>
      <c r="G19" s="12">
        <v>5</v>
      </c>
      <c r="H19" s="8">
        <v>2.89</v>
      </c>
      <c r="I19" s="12">
        <v>0</v>
      </c>
    </row>
    <row r="20" spans="2:9" ht="15" customHeight="1" x14ac:dyDescent="0.2">
      <c r="B20" s="9" t="s">
        <v>269</v>
      </c>
      <c r="C20" s="12">
        <f>SUM(LTBL_11342[総数／事業所数])</f>
        <v>430</v>
      </c>
      <c r="E20" s="12">
        <f>SUBTOTAL(109,LTBL_11342[個人／事業所数])</f>
        <v>250</v>
      </c>
      <c r="G20" s="12">
        <f>SUBTOTAL(109,LTBL_11342[法人／事業所数])</f>
        <v>173</v>
      </c>
      <c r="I20" s="12">
        <f>SUBTOTAL(109,LTBL_11342[法人以外の団体／事業所数])</f>
        <v>2</v>
      </c>
    </row>
    <row r="21" spans="2:9" ht="15" customHeight="1" x14ac:dyDescent="0.2">
      <c r="E21" s="11">
        <f>LTBL_11342[[#Totals],[個人／事業所数]]/LTBL_11342[[#Totals],[総数／事業所数]]</f>
        <v>0.58139534883720934</v>
      </c>
      <c r="G21" s="11">
        <f>LTBL_11342[[#Totals],[法人／事業所数]]/LTBL_11342[[#Totals],[総数／事業所数]]</f>
        <v>0.40232558139534885</v>
      </c>
      <c r="I21" s="11">
        <f>LTBL_11342[[#Totals],[法人以外の団体／事業所数]]/LTBL_11342[[#Totals],[総数／事業所数]]</f>
        <v>4.6511627906976744E-3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97</v>
      </c>
      <c r="C24" s="12">
        <v>46</v>
      </c>
      <c r="D24" s="8">
        <v>10.7</v>
      </c>
      <c r="E24" s="12">
        <v>19</v>
      </c>
      <c r="F24" s="8">
        <v>7.6</v>
      </c>
      <c r="G24" s="12">
        <v>27</v>
      </c>
      <c r="H24" s="8">
        <v>15.61</v>
      </c>
      <c r="I24" s="12">
        <v>0</v>
      </c>
    </row>
    <row r="25" spans="2:9" ht="15" customHeight="1" x14ac:dyDescent="0.2">
      <c r="B25" t="s">
        <v>111</v>
      </c>
      <c r="C25" s="12">
        <v>44</v>
      </c>
      <c r="D25" s="8">
        <v>10.23</v>
      </c>
      <c r="E25" s="12">
        <v>40</v>
      </c>
      <c r="F25" s="8">
        <v>16</v>
      </c>
      <c r="G25" s="12">
        <v>4</v>
      </c>
      <c r="H25" s="8">
        <v>2.31</v>
      </c>
      <c r="I25" s="12">
        <v>0</v>
      </c>
    </row>
    <row r="26" spans="2:9" ht="15" customHeight="1" x14ac:dyDescent="0.2">
      <c r="B26" t="s">
        <v>112</v>
      </c>
      <c r="C26" s="12">
        <v>42</v>
      </c>
      <c r="D26" s="8">
        <v>9.77</v>
      </c>
      <c r="E26" s="12">
        <v>36</v>
      </c>
      <c r="F26" s="8">
        <v>14.4</v>
      </c>
      <c r="G26" s="12">
        <v>6</v>
      </c>
      <c r="H26" s="8">
        <v>3.47</v>
      </c>
      <c r="I26" s="12">
        <v>0</v>
      </c>
    </row>
    <row r="27" spans="2:9" ht="15" customHeight="1" x14ac:dyDescent="0.2">
      <c r="B27" t="s">
        <v>108</v>
      </c>
      <c r="C27" s="12">
        <v>37</v>
      </c>
      <c r="D27" s="8">
        <v>8.6</v>
      </c>
      <c r="E27" s="12">
        <v>30</v>
      </c>
      <c r="F27" s="8">
        <v>12</v>
      </c>
      <c r="G27" s="12">
        <v>6</v>
      </c>
      <c r="H27" s="8">
        <v>3.47</v>
      </c>
      <c r="I27" s="12">
        <v>1</v>
      </c>
    </row>
    <row r="28" spans="2:9" ht="15" customHeight="1" x14ac:dyDescent="0.2">
      <c r="B28" t="s">
        <v>106</v>
      </c>
      <c r="C28" s="12">
        <v>30</v>
      </c>
      <c r="D28" s="8">
        <v>6.98</v>
      </c>
      <c r="E28" s="12">
        <v>16</v>
      </c>
      <c r="F28" s="8">
        <v>6.4</v>
      </c>
      <c r="G28" s="12">
        <v>14</v>
      </c>
      <c r="H28" s="8">
        <v>8.09</v>
      </c>
      <c r="I28" s="12">
        <v>0</v>
      </c>
    </row>
    <row r="29" spans="2:9" ht="15" customHeight="1" x14ac:dyDescent="0.2">
      <c r="B29" t="s">
        <v>98</v>
      </c>
      <c r="C29" s="12">
        <v>25</v>
      </c>
      <c r="D29" s="8">
        <v>5.81</v>
      </c>
      <c r="E29" s="12">
        <v>15</v>
      </c>
      <c r="F29" s="8">
        <v>6</v>
      </c>
      <c r="G29" s="12">
        <v>10</v>
      </c>
      <c r="H29" s="8">
        <v>5.78</v>
      </c>
      <c r="I29" s="12">
        <v>0</v>
      </c>
    </row>
    <row r="30" spans="2:9" ht="15" customHeight="1" x14ac:dyDescent="0.2">
      <c r="B30" t="s">
        <v>104</v>
      </c>
      <c r="C30" s="12">
        <v>24</v>
      </c>
      <c r="D30" s="8">
        <v>5.58</v>
      </c>
      <c r="E30" s="12">
        <v>17</v>
      </c>
      <c r="F30" s="8">
        <v>6.8</v>
      </c>
      <c r="G30" s="12">
        <v>7</v>
      </c>
      <c r="H30" s="8">
        <v>4.05</v>
      </c>
      <c r="I30" s="12">
        <v>0</v>
      </c>
    </row>
    <row r="31" spans="2:9" ht="15" customHeight="1" x14ac:dyDescent="0.2">
      <c r="B31" t="s">
        <v>99</v>
      </c>
      <c r="C31" s="12">
        <v>20</v>
      </c>
      <c r="D31" s="8">
        <v>4.6500000000000004</v>
      </c>
      <c r="E31" s="12">
        <v>7</v>
      </c>
      <c r="F31" s="8">
        <v>2.8</v>
      </c>
      <c r="G31" s="12">
        <v>13</v>
      </c>
      <c r="H31" s="8">
        <v>7.51</v>
      </c>
      <c r="I31" s="12">
        <v>0</v>
      </c>
    </row>
    <row r="32" spans="2:9" ht="15" customHeight="1" x14ac:dyDescent="0.2">
      <c r="B32" t="s">
        <v>114</v>
      </c>
      <c r="C32" s="12">
        <v>16</v>
      </c>
      <c r="D32" s="8">
        <v>3.72</v>
      </c>
      <c r="E32" s="12">
        <v>12</v>
      </c>
      <c r="F32" s="8">
        <v>4.8</v>
      </c>
      <c r="G32" s="12">
        <v>3</v>
      </c>
      <c r="H32" s="8">
        <v>1.73</v>
      </c>
      <c r="I32" s="12">
        <v>0</v>
      </c>
    </row>
    <row r="33" spans="2:9" ht="15" customHeight="1" x14ac:dyDescent="0.2">
      <c r="B33" t="s">
        <v>110</v>
      </c>
      <c r="C33" s="12">
        <v>15</v>
      </c>
      <c r="D33" s="8">
        <v>3.49</v>
      </c>
      <c r="E33" s="12">
        <v>5</v>
      </c>
      <c r="F33" s="8">
        <v>2</v>
      </c>
      <c r="G33" s="12">
        <v>10</v>
      </c>
      <c r="H33" s="8">
        <v>5.78</v>
      </c>
      <c r="I33" s="12">
        <v>0</v>
      </c>
    </row>
    <row r="34" spans="2:9" ht="15" customHeight="1" x14ac:dyDescent="0.2">
      <c r="B34" t="s">
        <v>105</v>
      </c>
      <c r="C34" s="12">
        <v>14</v>
      </c>
      <c r="D34" s="8">
        <v>3.26</v>
      </c>
      <c r="E34" s="12">
        <v>10</v>
      </c>
      <c r="F34" s="8">
        <v>4</v>
      </c>
      <c r="G34" s="12">
        <v>4</v>
      </c>
      <c r="H34" s="8">
        <v>2.31</v>
      </c>
      <c r="I34" s="12">
        <v>0</v>
      </c>
    </row>
    <row r="35" spans="2:9" ht="15" customHeight="1" x14ac:dyDescent="0.2">
      <c r="B35" t="s">
        <v>115</v>
      </c>
      <c r="C35" s="12">
        <v>13</v>
      </c>
      <c r="D35" s="8">
        <v>3.02</v>
      </c>
      <c r="E35" s="12">
        <v>11</v>
      </c>
      <c r="F35" s="8">
        <v>4.4000000000000004</v>
      </c>
      <c r="G35" s="12">
        <v>2</v>
      </c>
      <c r="H35" s="8">
        <v>1.1599999999999999</v>
      </c>
      <c r="I35" s="12">
        <v>0</v>
      </c>
    </row>
    <row r="36" spans="2:9" ht="15" customHeight="1" x14ac:dyDescent="0.2">
      <c r="B36" t="s">
        <v>109</v>
      </c>
      <c r="C36" s="12">
        <v>9</v>
      </c>
      <c r="D36" s="8">
        <v>2.09</v>
      </c>
      <c r="E36" s="12">
        <v>7</v>
      </c>
      <c r="F36" s="8">
        <v>2.8</v>
      </c>
      <c r="G36" s="12">
        <v>2</v>
      </c>
      <c r="H36" s="8">
        <v>1.1599999999999999</v>
      </c>
      <c r="I36" s="12">
        <v>0</v>
      </c>
    </row>
    <row r="37" spans="2:9" ht="15" customHeight="1" x14ac:dyDescent="0.2">
      <c r="B37" t="s">
        <v>113</v>
      </c>
      <c r="C37" s="12">
        <v>9</v>
      </c>
      <c r="D37" s="8">
        <v>2.09</v>
      </c>
      <c r="E37" s="12">
        <v>3</v>
      </c>
      <c r="F37" s="8">
        <v>1.2</v>
      </c>
      <c r="G37" s="12">
        <v>5</v>
      </c>
      <c r="H37" s="8">
        <v>2.89</v>
      </c>
      <c r="I37" s="12">
        <v>1</v>
      </c>
    </row>
    <row r="38" spans="2:9" ht="15" customHeight="1" x14ac:dyDescent="0.2">
      <c r="B38" t="s">
        <v>125</v>
      </c>
      <c r="C38" s="12">
        <v>7</v>
      </c>
      <c r="D38" s="8">
        <v>1.63</v>
      </c>
      <c r="E38" s="12">
        <v>4</v>
      </c>
      <c r="F38" s="8">
        <v>1.6</v>
      </c>
      <c r="G38" s="12">
        <v>3</v>
      </c>
      <c r="H38" s="8">
        <v>1.73</v>
      </c>
      <c r="I38" s="12">
        <v>0</v>
      </c>
    </row>
    <row r="39" spans="2:9" ht="15" customHeight="1" x14ac:dyDescent="0.2">
      <c r="B39" t="s">
        <v>100</v>
      </c>
      <c r="C39" s="12">
        <v>6</v>
      </c>
      <c r="D39" s="8">
        <v>1.4</v>
      </c>
      <c r="E39" s="12">
        <v>1</v>
      </c>
      <c r="F39" s="8">
        <v>0.4</v>
      </c>
      <c r="G39" s="12">
        <v>5</v>
      </c>
      <c r="H39" s="8">
        <v>2.89</v>
      </c>
      <c r="I39" s="12">
        <v>0</v>
      </c>
    </row>
    <row r="40" spans="2:9" ht="15" customHeight="1" x14ac:dyDescent="0.2">
      <c r="B40" t="s">
        <v>103</v>
      </c>
      <c r="C40" s="12">
        <v>6</v>
      </c>
      <c r="D40" s="8">
        <v>1.4</v>
      </c>
      <c r="E40" s="12">
        <v>5</v>
      </c>
      <c r="F40" s="8">
        <v>2</v>
      </c>
      <c r="G40" s="12">
        <v>1</v>
      </c>
      <c r="H40" s="8">
        <v>0.57999999999999996</v>
      </c>
      <c r="I40" s="12">
        <v>0</v>
      </c>
    </row>
    <row r="41" spans="2:9" ht="15" customHeight="1" x14ac:dyDescent="0.2">
      <c r="B41" t="s">
        <v>118</v>
      </c>
      <c r="C41" s="12">
        <v>6</v>
      </c>
      <c r="D41" s="8">
        <v>1.4</v>
      </c>
      <c r="E41" s="12">
        <v>0</v>
      </c>
      <c r="F41" s="8">
        <v>0</v>
      </c>
      <c r="G41" s="12">
        <v>4</v>
      </c>
      <c r="H41" s="8">
        <v>2.31</v>
      </c>
      <c r="I41" s="12">
        <v>0</v>
      </c>
    </row>
    <row r="42" spans="2:9" ht="15" customHeight="1" x14ac:dyDescent="0.2">
      <c r="B42" t="s">
        <v>123</v>
      </c>
      <c r="C42" s="12">
        <v>5</v>
      </c>
      <c r="D42" s="8">
        <v>1.1599999999999999</v>
      </c>
      <c r="E42" s="12">
        <v>1</v>
      </c>
      <c r="F42" s="8">
        <v>0.4</v>
      </c>
      <c r="G42" s="12">
        <v>4</v>
      </c>
      <c r="H42" s="8">
        <v>2.31</v>
      </c>
      <c r="I42" s="12">
        <v>0</v>
      </c>
    </row>
    <row r="43" spans="2:9" ht="15" customHeight="1" x14ac:dyDescent="0.2">
      <c r="B43" t="s">
        <v>101</v>
      </c>
      <c r="C43" s="12">
        <v>5</v>
      </c>
      <c r="D43" s="8">
        <v>1.1599999999999999</v>
      </c>
      <c r="E43" s="12">
        <v>1</v>
      </c>
      <c r="F43" s="8">
        <v>0.4</v>
      </c>
      <c r="G43" s="12">
        <v>4</v>
      </c>
      <c r="H43" s="8">
        <v>2.31</v>
      </c>
      <c r="I43" s="12">
        <v>0</v>
      </c>
    </row>
    <row r="44" spans="2:9" ht="15" customHeight="1" x14ac:dyDescent="0.2">
      <c r="B44" t="s">
        <v>107</v>
      </c>
      <c r="C44" s="12">
        <v>5</v>
      </c>
      <c r="D44" s="8">
        <v>1.1599999999999999</v>
      </c>
      <c r="E44" s="12">
        <v>1</v>
      </c>
      <c r="F44" s="8">
        <v>0.4</v>
      </c>
      <c r="G44" s="12">
        <v>4</v>
      </c>
      <c r="H44" s="8">
        <v>2.31</v>
      </c>
      <c r="I44" s="12">
        <v>0</v>
      </c>
    </row>
    <row r="45" spans="2:9" ht="15" customHeight="1" x14ac:dyDescent="0.2">
      <c r="B45" t="s">
        <v>134</v>
      </c>
      <c r="C45" s="12">
        <v>5</v>
      </c>
      <c r="D45" s="8">
        <v>1.1599999999999999</v>
      </c>
      <c r="E45" s="12">
        <v>1</v>
      </c>
      <c r="F45" s="8">
        <v>0.4</v>
      </c>
      <c r="G45" s="12">
        <v>3</v>
      </c>
      <c r="H45" s="8">
        <v>1.73</v>
      </c>
      <c r="I45" s="12">
        <v>0</v>
      </c>
    </row>
    <row r="48" spans="2:9" ht="33" customHeight="1" x14ac:dyDescent="0.2">
      <c r="B48" t="s">
        <v>271</v>
      </c>
      <c r="C48" s="10" t="s">
        <v>90</v>
      </c>
      <c r="D48" s="10" t="s">
        <v>91</v>
      </c>
      <c r="E48" s="10" t="s">
        <v>92</v>
      </c>
      <c r="F48" s="10" t="s">
        <v>93</v>
      </c>
      <c r="G48" s="10" t="s">
        <v>94</v>
      </c>
      <c r="H48" s="10" t="s">
        <v>95</v>
      </c>
      <c r="I48" s="10" t="s">
        <v>96</v>
      </c>
    </row>
    <row r="49" spans="2:9" ht="15" customHeight="1" x14ac:dyDescent="0.2">
      <c r="B49" t="s">
        <v>167</v>
      </c>
      <c r="C49" s="12">
        <v>30</v>
      </c>
      <c r="D49" s="8">
        <v>6.98</v>
      </c>
      <c r="E49" s="12">
        <v>27</v>
      </c>
      <c r="F49" s="8">
        <v>10.8</v>
      </c>
      <c r="G49" s="12">
        <v>3</v>
      </c>
      <c r="H49" s="8">
        <v>1.73</v>
      </c>
      <c r="I49" s="12">
        <v>0</v>
      </c>
    </row>
    <row r="50" spans="2:9" ht="15" customHeight="1" x14ac:dyDescent="0.2">
      <c r="B50" t="s">
        <v>159</v>
      </c>
      <c r="C50" s="12">
        <v>22</v>
      </c>
      <c r="D50" s="8">
        <v>5.12</v>
      </c>
      <c r="E50" s="12">
        <v>14</v>
      </c>
      <c r="F50" s="8">
        <v>5.6</v>
      </c>
      <c r="G50" s="12">
        <v>8</v>
      </c>
      <c r="H50" s="8">
        <v>4.62</v>
      </c>
      <c r="I50" s="12">
        <v>0</v>
      </c>
    </row>
    <row r="51" spans="2:9" ht="15" customHeight="1" x14ac:dyDescent="0.2">
      <c r="B51" t="s">
        <v>170</v>
      </c>
      <c r="C51" s="12">
        <v>20</v>
      </c>
      <c r="D51" s="8">
        <v>4.6500000000000004</v>
      </c>
      <c r="E51" s="12">
        <v>20</v>
      </c>
      <c r="F51" s="8">
        <v>8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173</v>
      </c>
      <c r="C52" s="12">
        <v>20</v>
      </c>
      <c r="D52" s="8">
        <v>4.6500000000000004</v>
      </c>
      <c r="E52" s="12">
        <v>19</v>
      </c>
      <c r="F52" s="8">
        <v>7.6</v>
      </c>
      <c r="G52" s="12">
        <v>1</v>
      </c>
      <c r="H52" s="8">
        <v>0.57999999999999996</v>
      </c>
      <c r="I52" s="12">
        <v>0</v>
      </c>
    </row>
    <row r="53" spans="2:9" ht="15" customHeight="1" x14ac:dyDescent="0.2">
      <c r="B53" t="s">
        <v>172</v>
      </c>
      <c r="C53" s="12">
        <v>15</v>
      </c>
      <c r="D53" s="8">
        <v>3.49</v>
      </c>
      <c r="E53" s="12">
        <v>13</v>
      </c>
      <c r="F53" s="8">
        <v>5.2</v>
      </c>
      <c r="G53" s="12">
        <v>2</v>
      </c>
      <c r="H53" s="8">
        <v>1.1599999999999999</v>
      </c>
      <c r="I53" s="12">
        <v>0</v>
      </c>
    </row>
    <row r="54" spans="2:9" ht="15" customHeight="1" x14ac:dyDescent="0.2">
      <c r="B54" t="s">
        <v>163</v>
      </c>
      <c r="C54" s="12">
        <v>12</v>
      </c>
      <c r="D54" s="8">
        <v>2.79</v>
      </c>
      <c r="E54" s="12">
        <v>9</v>
      </c>
      <c r="F54" s="8">
        <v>3.6</v>
      </c>
      <c r="G54" s="12">
        <v>3</v>
      </c>
      <c r="H54" s="8">
        <v>1.73</v>
      </c>
      <c r="I54" s="12">
        <v>0</v>
      </c>
    </row>
    <row r="55" spans="2:9" ht="15" customHeight="1" x14ac:dyDescent="0.2">
      <c r="B55" t="s">
        <v>174</v>
      </c>
      <c r="C55" s="12">
        <v>12</v>
      </c>
      <c r="D55" s="8">
        <v>2.79</v>
      </c>
      <c r="E55" s="12">
        <v>10</v>
      </c>
      <c r="F55" s="8">
        <v>4</v>
      </c>
      <c r="G55" s="12">
        <v>2</v>
      </c>
      <c r="H55" s="8">
        <v>1.1599999999999999</v>
      </c>
      <c r="I55" s="12">
        <v>0</v>
      </c>
    </row>
    <row r="56" spans="2:9" ht="15" customHeight="1" x14ac:dyDescent="0.2">
      <c r="B56" t="s">
        <v>169</v>
      </c>
      <c r="C56" s="12">
        <v>11</v>
      </c>
      <c r="D56" s="8">
        <v>2.56</v>
      </c>
      <c r="E56" s="12">
        <v>8</v>
      </c>
      <c r="F56" s="8">
        <v>3.2</v>
      </c>
      <c r="G56" s="12">
        <v>3</v>
      </c>
      <c r="H56" s="8">
        <v>1.73</v>
      </c>
      <c r="I56" s="12">
        <v>0</v>
      </c>
    </row>
    <row r="57" spans="2:9" ht="15" customHeight="1" x14ac:dyDescent="0.2">
      <c r="B57" t="s">
        <v>157</v>
      </c>
      <c r="C57" s="12">
        <v>10</v>
      </c>
      <c r="D57" s="8">
        <v>2.33</v>
      </c>
      <c r="E57" s="12">
        <v>1</v>
      </c>
      <c r="F57" s="8">
        <v>0.4</v>
      </c>
      <c r="G57" s="12">
        <v>9</v>
      </c>
      <c r="H57" s="8">
        <v>5.2</v>
      </c>
      <c r="I57" s="12">
        <v>0</v>
      </c>
    </row>
    <row r="58" spans="2:9" ht="15" customHeight="1" x14ac:dyDescent="0.2">
      <c r="B58" t="s">
        <v>160</v>
      </c>
      <c r="C58" s="12">
        <v>10</v>
      </c>
      <c r="D58" s="8">
        <v>2.33</v>
      </c>
      <c r="E58" s="12">
        <v>4</v>
      </c>
      <c r="F58" s="8">
        <v>1.6</v>
      </c>
      <c r="G58" s="12">
        <v>6</v>
      </c>
      <c r="H58" s="8">
        <v>3.47</v>
      </c>
      <c r="I58" s="12">
        <v>0</v>
      </c>
    </row>
    <row r="59" spans="2:9" ht="15" customHeight="1" x14ac:dyDescent="0.2">
      <c r="B59" t="s">
        <v>162</v>
      </c>
      <c r="C59" s="12">
        <v>10</v>
      </c>
      <c r="D59" s="8">
        <v>2.33</v>
      </c>
      <c r="E59" s="12">
        <v>5</v>
      </c>
      <c r="F59" s="8">
        <v>2</v>
      </c>
      <c r="G59" s="12">
        <v>5</v>
      </c>
      <c r="H59" s="8">
        <v>2.89</v>
      </c>
      <c r="I59" s="12">
        <v>0</v>
      </c>
    </row>
    <row r="60" spans="2:9" ht="15" customHeight="1" x14ac:dyDescent="0.2">
      <c r="B60" t="s">
        <v>161</v>
      </c>
      <c r="C60" s="12">
        <v>9</v>
      </c>
      <c r="D60" s="8">
        <v>2.09</v>
      </c>
      <c r="E60" s="12">
        <v>3</v>
      </c>
      <c r="F60" s="8">
        <v>1.2</v>
      </c>
      <c r="G60" s="12">
        <v>6</v>
      </c>
      <c r="H60" s="8">
        <v>3.47</v>
      </c>
      <c r="I60" s="12">
        <v>0</v>
      </c>
    </row>
    <row r="61" spans="2:9" ht="15" customHeight="1" x14ac:dyDescent="0.2">
      <c r="B61" t="s">
        <v>178</v>
      </c>
      <c r="C61" s="12">
        <v>9</v>
      </c>
      <c r="D61" s="8">
        <v>2.09</v>
      </c>
      <c r="E61" s="12">
        <v>2</v>
      </c>
      <c r="F61" s="8">
        <v>0.8</v>
      </c>
      <c r="G61" s="12">
        <v>7</v>
      </c>
      <c r="H61" s="8">
        <v>4.05</v>
      </c>
      <c r="I61" s="12">
        <v>0</v>
      </c>
    </row>
    <row r="62" spans="2:9" ht="15" customHeight="1" x14ac:dyDescent="0.2">
      <c r="B62" t="s">
        <v>175</v>
      </c>
      <c r="C62" s="12">
        <v>9</v>
      </c>
      <c r="D62" s="8">
        <v>2.09</v>
      </c>
      <c r="E62" s="12">
        <v>8</v>
      </c>
      <c r="F62" s="8">
        <v>3.2</v>
      </c>
      <c r="G62" s="12">
        <v>1</v>
      </c>
      <c r="H62" s="8">
        <v>0.57999999999999996</v>
      </c>
      <c r="I62" s="12">
        <v>0</v>
      </c>
    </row>
    <row r="63" spans="2:9" ht="15" customHeight="1" x14ac:dyDescent="0.2">
      <c r="B63" t="s">
        <v>188</v>
      </c>
      <c r="C63" s="12">
        <v>8</v>
      </c>
      <c r="D63" s="8">
        <v>1.86</v>
      </c>
      <c r="E63" s="12">
        <v>6</v>
      </c>
      <c r="F63" s="8">
        <v>2.4</v>
      </c>
      <c r="G63" s="12">
        <v>2</v>
      </c>
      <c r="H63" s="8">
        <v>1.1599999999999999</v>
      </c>
      <c r="I63" s="12">
        <v>0</v>
      </c>
    </row>
    <row r="64" spans="2:9" ht="15" customHeight="1" x14ac:dyDescent="0.2">
      <c r="B64" t="s">
        <v>158</v>
      </c>
      <c r="C64" s="12">
        <v>7</v>
      </c>
      <c r="D64" s="8">
        <v>1.63</v>
      </c>
      <c r="E64" s="12">
        <v>1</v>
      </c>
      <c r="F64" s="8">
        <v>0.4</v>
      </c>
      <c r="G64" s="12">
        <v>6</v>
      </c>
      <c r="H64" s="8">
        <v>3.47</v>
      </c>
      <c r="I64" s="12">
        <v>0</v>
      </c>
    </row>
    <row r="65" spans="2:9" ht="15" customHeight="1" x14ac:dyDescent="0.2">
      <c r="B65" t="s">
        <v>164</v>
      </c>
      <c r="C65" s="12">
        <v>7</v>
      </c>
      <c r="D65" s="8">
        <v>1.63</v>
      </c>
      <c r="E65" s="12">
        <v>5</v>
      </c>
      <c r="F65" s="8">
        <v>2</v>
      </c>
      <c r="G65" s="12">
        <v>2</v>
      </c>
      <c r="H65" s="8">
        <v>1.1599999999999999</v>
      </c>
      <c r="I65" s="12">
        <v>0</v>
      </c>
    </row>
    <row r="66" spans="2:9" ht="15" customHeight="1" x14ac:dyDescent="0.2">
      <c r="B66" t="s">
        <v>228</v>
      </c>
      <c r="C66" s="12">
        <v>7</v>
      </c>
      <c r="D66" s="8">
        <v>1.63</v>
      </c>
      <c r="E66" s="12">
        <v>2</v>
      </c>
      <c r="F66" s="8">
        <v>0.8</v>
      </c>
      <c r="G66" s="12">
        <v>5</v>
      </c>
      <c r="H66" s="8">
        <v>2.89</v>
      </c>
      <c r="I66" s="12">
        <v>0</v>
      </c>
    </row>
    <row r="67" spans="2:9" ht="15" customHeight="1" x14ac:dyDescent="0.2">
      <c r="B67" t="s">
        <v>177</v>
      </c>
      <c r="C67" s="12">
        <v>6</v>
      </c>
      <c r="D67" s="8">
        <v>1.4</v>
      </c>
      <c r="E67" s="12">
        <v>3</v>
      </c>
      <c r="F67" s="8">
        <v>1.2</v>
      </c>
      <c r="G67" s="12">
        <v>3</v>
      </c>
      <c r="H67" s="8">
        <v>1.73</v>
      </c>
      <c r="I67" s="12">
        <v>0</v>
      </c>
    </row>
    <row r="68" spans="2:9" ht="15" customHeight="1" x14ac:dyDescent="0.2">
      <c r="B68" t="s">
        <v>185</v>
      </c>
      <c r="C68" s="12">
        <v>6</v>
      </c>
      <c r="D68" s="8">
        <v>1.4</v>
      </c>
      <c r="E68" s="12">
        <v>1</v>
      </c>
      <c r="F68" s="8">
        <v>0.4</v>
      </c>
      <c r="G68" s="12">
        <v>5</v>
      </c>
      <c r="H68" s="8">
        <v>2.89</v>
      </c>
      <c r="I68" s="12">
        <v>0</v>
      </c>
    </row>
    <row r="70" spans="2:9" ht="15" customHeight="1" x14ac:dyDescent="0.2">
      <c r="B70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F9BCD-65A4-42E8-8525-06DABC4880E7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329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100</v>
      </c>
      <c r="D6" s="8">
        <v>14.9</v>
      </c>
      <c r="E6" s="12">
        <v>48</v>
      </c>
      <c r="F6" s="8">
        <v>12.12</v>
      </c>
      <c r="G6" s="12">
        <v>52</v>
      </c>
      <c r="H6" s="8">
        <v>19.399999999999999</v>
      </c>
      <c r="I6" s="12">
        <v>0</v>
      </c>
    </row>
    <row r="7" spans="2:9" ht="15" customHeight="1" x14ac:dyDescent="0.2">
      <c r="B7" t="s">
        <v>76</v>
      </c>
      <c r="C7" s="12">
        <v>104</v>
      </c>
      <c r="D7" s="8">
        <v>15.5</v>
      </c>
      <c r="E7" s="12">
        <v>47</v>
      </c>
      <c r="F7" s="8">
        <v>11.87</v>
      </c>
      <c r="G7" s="12">
        <v>57</v>
      </c>
      <c r="H7" s="8">
        <v>21.27</v>
      </c>
      <c r="I7" s="12">
        <v>0</v>
      </c>
    </row>
    <row r="8" spans="2:9" ht="15" customHeight="1" x14ac:dyDescent="0.2">
      <c r="B8" t="s">
        <v>77</v>
      </c>
      <c r="C8" s="12">
        <v>4</v>
      </c>
      <c r="D8" s="8">
        <v>0.6</v>
      </c>
      <c r="E8" s="12">
        <v>0</v>
      </c>
      <c r="F8" s="8">
        <v>0</v>
      </c>
      <c r="G8" s="12">
        <v>3</v>
      </c>
      <c r="H8" s="8">
        <v>1.1200000000000001</v>
      </c>
      <c r="I8" s="12">
        <v>0</v>
      </c>
    </row>
    <row r="9" spans="2:9" ht="15" customHeight="1" x14ac:dyDescent="0.2">
      <c r="B9" t="s">
        <v>78</v>
      </c>
      <c r="C9" s="12">
        <v>6</v>
      </c>
      <c r="D9" s="8">
        <v>0.89</v>
      </c>
      <c r="E9" s="12">
        <v>2</v>
      </c>
      <c r="F9" s="8">
        <v>0.51</v>
      </c>
      <c r="G9" s="12">
        <v>4</v>
      </c>
      <c r="H9" s="8">
        <v>1.49</v>
      </c>
      <c r="I9" s="12">
        <v>0</v>
      </c>
    </row>
    <row r="10" spans="2:9" ht="15" customHeight="1" x14ac:dyDescent="0.2">
      <c r="B10" t="s">
        <v>79</v>
      </c>
      <c r="C10" s="12">
        <v>5</v>
      </c>
      <c r="D10" s="8">
        <v>0.75</v>
      </c>
      <c r="E10" s="12">
        <v>2</v>
      </c>
      <c r="F10" s="8">
        <v>0.51</v>
      </c>
      <c r="G10" s="12">
        <v>3</v>
      </c>
      <c r="H10" s="8">
        <v>1.1200000000000001</v>
      </c>
      <c r="I10" s="12">
        <v>0</v>
      </c>
    </row>
    <row r="11" spans="2:9" ht="15" customHeight="1" x14ac:dyDescent="0.2">
      <c r="B11" t="s">
        <v>80</v>
      </c>
      <c r="C11" s="12">
        <v>163</v>
      </c>
      <c r="D11" s="8">
        <v>24.29</v>
      </c>
      <c r="E11" s="12">
        <v>90</v>
      </c>
      <c r="F11" s="8">
        <v>22.73</v>
      </c>
      <c r="G11" s="12">
        <v>73</v>
      </c>
      <c r="H11" s="8">
        <v>27.24</v>
      </c>
      <c r="I11" s="12">
        <v>0</v>
      </c>
    </row>
    <row r="12" spans="2:9" ht="15" customHeight="1" x14ac:dyDescent="0.2">
      <c r="B12" t="s">
        <v>81</v>
      </c>
      <c r="C12" s="12">
        <v>2</v>
      </c>
      <c r="D12" s="8">
        <v>0.3</v>
      </c>
      <c r="E12" s="12">
        <v>1</v>
      </c>
      <c r="F12" s="8">
        <v>0.25</v>
      </c>
      <c r="G12" s="12">
        <v>1</v>
      </c>
      <c r="H12" s="8">
        <v>0.37</v>
      </c>
      <c r="I12" s="12">
        <v>0</v>
      </c>
    </row>
    <row r="13" spans="2:9" ht="15" customHeight="1" x14ac:dyDescent="0.2">
      <c r="B13" t="s">
        <v>82</v>
      </c>
      <c r="C13" s="12">
        <v>44</v>
      </c>
      <c r="D13" s="8">
        <v>6.56</v>
      </c>
      <c r="E13" s="12">
        <v>24</v>
      </c>
      <c r="F13" s="8">
        <v>6.06</v>
      </c>
      <c r="G13" s="12">
        <v>20</v>
      </c>
      <c r="H13" s="8">
        <v>7.46</v>
      </c>
      <c r="I13" s="12">
        <v>0</v>
      </c>
    </row>
    <row r="14" spans="2:9" ht="15" customHeight="1" x14ac:dyDescent="0.2">
      <c r="B14" t="s">
        <v>83</v>
      </c>
      <c r="C14" s="12">
        <v>32</v>
      </c>
      <c r="D14" s="8">
        <v>4.7699999999999996</v>
      </c>
      <c r="E14" s="12">
        <v>17</v>
      </c>
      <c r="F14" s="8">
        <v>4.29</v>
      </c>
      <c r="G14" s="12">
        <v>15</v>
      </c>
      <c r="H14" s="8">
        <v>5.6</v>
      </c>
      <c r="I14" s="12">
        <v>0</v>
      </c>
    </row>
    <row r="15" spans="2:9" ht="15" customHeight="1" x14ac:dyDescent="0.2">
      <c r="B15" t="s">
        <v>84</v>
      </c>
      <c r="C15" s="12">
        <v>62</v>
      </c>
      <c r="D15" s="8">
        <v>9.24</v>
      </c>
      <c r="E15" s="12">
        <v>50</v>
      </c>
      <c r="F15" s="8">
        <v>12.63</v>
      </c>
      <c r="G15" s="12">
        <v>12</v>
      </c>
      <c r="H15" s="8">
        <v>4.4800000000000004</v>
      </c>
      <c r="I15" s="12">
        <v>0</v>
      </c>
    </row>
    <row r="16" spans="2:9" ht="15" customHeight="1" x14ac:dyDescent="0.2">
      <c r="B16" t="s">
        <v>85</v>
      </c>
      <c r="C16" s="12">
        <v>72</v>
      </c>
      <c r="D16" s="8">
        <v>10.73</v>
      </c>
      <c r="E16" s="12">
        <v>61</v>
      </c>
      <c r="F16" s="8">
        <v>15.4</v>
      </c>
      <c r="G16" s="12">
        <v>11</v>
      </c>
      <c r="H16" s="8">
        <v>4.0999999999999996</v>
      </c>
      <c r="I16" s="12">
        <v>0</v>
      </c>
    </row>
    <row r="17" spans="2:9" ht="15" customHeight="1" x14ac:dyDescent="0.2">
      <c r="B17" t="s">
        <v>86</v>
      </c>
      <c r="C17" s="12">
        <v>36</v>
      </c>
      <c r="D17" s="8">
        <v>5.37</v>
      </c>
      <c r="E17" s="12">
        <v>26</v>
      </c>
      <c r="F17" s="8">
        <v>6.57</v>
      </c>
      <c r="G17" s="12">
        <v>5</v>
      </c>
      <c r="H17" s="8">
        <v>1.87</v>
      </c>
      <c r="I17" s="12">
        <v>0</v>
      </c>
    </row>
    <row r="18" spans="2:9" ht="15" customHeight="1" x14ac:dyDescent="0.2">
      <c r="B18" t="s">
        <v>87</v>
      </c>
      <c r="C18" s="12">
        <v>28</v>
      </c>
      <c r="D18" s="8">
        <v>4.17</v>
      </c>
      <c r="E18" s="12">
        <v>19</v>
      </c>
      <c r="F18" s="8">
        <v>4.8</v>
      </c>
      <c r="G18" s="12">
        <v>8</v>
      </c>
      <c r="H18" s="8">
        <v>2.99</v>
      </c>
      <c r="I18" s="12">
        <v>1</v>
      </c>
    </row>
    <row r="19" spans="2:9" ht="15" customHeight="1" x14ac:dyDescent="0.2">
      <c r="B19" t="s">
        <v>88</v>
      </c>
      <c r="C19" s="12">
        <v>13</v>
      </c>
      <c r="D19" s="8">
        <v>1.94</v>
      </c>
      <c r="E19" s="12">
        <v>9</v>
      </c>
      <c r="F19" s="8">
        <v>2.27</v>
      </c>
      <c r="G19" s="12">
        <v>4</v>
      </c>
      <c r="H19" s="8">
        <v>1.49</v>
      </c>
      <c r="I19" s="12">
        <v>0</v>
      </c>
    </row>
    <row r="20" spans="2:9" ht="15" customHeight="1" x14ac:dyDescent="0.2">
      <c r="B20" s="9" t="s">
        <v>269</v>
      </c>
      <c r="C20" s="12">
        <f>SUM(LTBL_11343[総数／事業所数])</f>
        <v>671</v>
      </c>
      <c r="E20" s="12">
        <f>SUBTOTAL(109,LTBL_11343[個人／事業所数])</f>
        <v>396</v>
      </c>
      <c r="G20" s="12">
        <f>SUBTOTAL(109,LTBL_11343[法人／事業所数])</f>
        <v>268</v>
      </c>
      <c r="I20" s="12">
        <f>SUBTOTAL(109,LTBL_11343[法人以外の団体／事業所数])</f>
        <v>1</v>
      </c>
    </row>
    <row r="21" spans="2:9" ht="15" customHeight="1" x14ac:dyDescent="0.2">
      <c r="E21" s="11">
        <f>LTBL_11343[[#Totals],[個人／事業所数]]/LTBL_11343[[#Totals],[総数／事業所数]]</f>
        <v>0.5901639344262295</v>
      </c>
      <c r="G21" s="11">
        <f>LTBL_11343[[#Totals],[法人／事業所数]]/LTBL_11343[[#Totals],[総数／事業所数]]</f>
        <v>0.39940387481371087</v>
      </c>
      <c r="I21" s="11">
        <f>LTBL_11343[[#Totals],[法人以外の団体／事業所数]]/LTBL_11343[[#Totals],[総数／事業所数]]</f>
        <v>1.4903129657228018E-3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60</v>
      </c>
      <c r="D24" s="8">
        <v>8.94</v>
      </c>
      <c r="E24" s="12">
        <v>54</v>
      </c>
      <c r="F24" s="8">
        <v>13.64</v>
      </c>
      <c r="G24" s="12">
        <v>6</v>
      </c>
      <c r="H24" s="8">
        <v>2.2400000000000002</v>
      </c>
      <c r="I24" s="12">
        <v>0</v>
      </c>
    </row>
    <row r="25" spans="2:9" ht="15" customHeight="1" x14ac:dyDescent="0.2">
      <c r="B25" t="s">
        <v>111</v>
      </c>
      <c r="C25" s="12">
        <v>57</v>
      </c>
      <c r="D25" s="8">
        <v>8.49</v>
      </c>
      <c r="E25" s="12">
        <v>48</v>
      </c>
      <c r="F25" s="8">
        <v>12.12</v>
      </c>
      <c r="G25" s="12">
        <v>9</v>
      </c>
      <c r="H25" s="8">
        <v>3.36</v>
      </c>
      <c r="I25" s="12">
        <v>0</v>
      </c>
    </row>
    <row r="26" spans="2:9" ht="15" customHeight="1" x14ac:dyDescent="0.2">
      <c r="B26" t="s">
        <v>106</v>
      </c>
      <c r="C26" s="12">
        <v>54</v>
      </c>
      <c r="D26" s="8">
        <v>8.0500000000000007</v>
      </c>
      <c r="E26" s="12">
        <v>24</v>
      </c>
      <c r="F26" s="8">
        <v>6.06</v>
      </c>
      <c r="G26" s="12">
        <v>30</v>
      </c>
      <c r="H26" s="8">
        <v>11.19</v>
      </c>
      <c r="I26" s="12">
        <v>0</v>
      </c>
    </row>
    <row r="27" spans="2:9" ht="15" customHeight="1" x14ac:dyDescent="0.2">
      <c r="B27" t="s">
        <v>97</v>
      </c>
      <c r="C27" s="12">
        <v>49</v>
      </c>
      <c r="D27" s="8">
        <v>7.3</v>
      </c>
      <c r="E27" s="12">
        <v>17</v>
      </c>
      <c r="F27" s="8">
        <v>4.29</v>
      </c>
      <c r="G27" s="12">
        <v>32</v>
      </c>
      <c r="H27" s="8">
        <v>11.94</v>
      </c>
      <c r="I27" s="12">
        <v>0</v>
      </c>
    </row>
    <row r="28" spans="2:9" ht="15" customHeight="1" x14ac:dyDescent="0.2">
      <c r="B28" t="s">
        <v>104</v>
      </c>
      <c r="C28" s="12">
        <v>45</v>
      </c>
      <c r="D28" s="8">
        <v>6.71</v>
      </c>
      <c r="E28" s="12">
        <v>33</v>
      </c>
      <c r="F28" s="8">
        <v>8.33</v>
      </c>
      <c r="G28" s="12">
        <v>12</v>
      </c>
      <c r="H28" s="8">
        <v>4.4800000000000004</v>
      </c>
      <c r="I28" s="12">
        <v>0</v>
      </c>
    </row>
    <row r="29" spans="2:9" ht="15" customHeight="1" x14ac:dyDescent="0.2">
      <c r="B29" t="s">
        <v>108</v>
      </c>
      <c r="C29" s="12">
        <v>39</v>
      </c>
      <c r="D29" s="8">
        <v>5.81</v>
      </c>
      <c r="E29" s="12">
        <v>24</v>
      </c>
      <c r="F29" s="8">
        <v>6.06</v>
      </c>
      <c r="G29" s="12">
        <v>15</v>
      </c>
      <c r="H29" s="8">
        <v>5.6</v>
      </c>
      <c r="I29" s="12">
        <v>0</v>
      </c>
    </row>
    <row r="30" spans="2:9" ht="15" customHeight="1" x14ac:dyDescent="0.2">
      <c r="B30" t="s">
        <v>114</v>
      </c>
      <c r="C30" s="12">
        <v>36</v>
      </c>
      <c r="D30" s="8">
        <v>5.37</v>
      </c>
      <c r="E30" s="12">
        <v>26</v>
      </c>
      <c r="F30" s="8">
        <v>6.57</v>
      </c>
      <c r="G30" s="12">
        <v>5</v>
      </c>
      <c r="H30" s="8">
        <v>1.87</v>
      </c>
      <c r="I30" s="12">
        <v>0</v>
      </c>
    </row>
    <row r="31" spans="2:9" ht="15" customHeight="1" x14ac:dyDescent="0.2">
      <c r="B31" t="s">
        <v>98</v>
      </c>
      <c r="C31" s="12">
        <v>31</v>
      </c>
      <c r="D31" s="8">
        <v>4.62</v>
      </c>
      <c r="E31" s="12">
        <v>22</v>
      </c>
      <c r="F31" s="8">
        <v>5.56</v>
      </c>
      <c r="G31" s="12">
        <v>9</v>
      </c>
      <c r="H31" s="8">
        <v>3.36</v>
      </c>
      <c r="I31" s="12">
        <v>0</v>
      </c>
    </row>
    <row r="32" spans="2:9" ht="15" customHeight="1" x14ac:dyDescent="0.2">
      <c r="B32" t="s">
        <v>105</v>
      </c>
      <c r="C32" s="12">
        <v>21</v>
      </c>
      <c r="D32" s="8">
        <v>3.13</v>
      </c>
      <c r="E32" s="12">
        <v>15</v>
      </c>
      <c r="F32" s="8">
        <v>3.79</v>
      </c>
      <c r="G32" s="12">
        <v>6</v>
      </c>
      <c r="H32" s="8">
        <v>2.2400000000000002</v>
      </c>
      <c r="I32" s="12">
        <v>0</v>
      </c>
    </row>
    <row r="33" spans="2:9" ht="15" customHeight="1" x14ac:dyDescent="0.2">
      <c r="B33" t="s">
        <v>115</v>
      </c>
      <c r="C33" s="12">
        <v>21</v>
      </c>
      <c r="D33" s="8">
        <v>3.13</v>
      </c>
      <c r="E33" s="12">
        <v>19</v>
      </c>
      <c r="F33" s="8">
        <v>4.8</v>
      </c>
      <c r="G33" s="12">
        <v>2</v>
      </c>
      <c r="H33" s="8">
        <v>0.75</v>
      </c>
      <c r="I33" s="12">
        <v>0</v>
      </c>
    </row>
    <row r="34" spans="2:9" ht="15" customHeight="1" x14ac:dyDescent="0.2">
      <c r="B34" t="s">
        <v>99</v>
      </c>
      <c r="C34" s="12">
        <v>20</v>
      </c>
      <c r="D34" s="8">
        <v>2.98</v>
      </c>
      <c r="E34" s="12">
        <v>9</v>
      </c>
      <c r="F34" s="8">
        <v>2.27</v>
      </c>
      <c r="G34" s="12">
        <v>11</v>
      </c>
      <c r="H34" s="8">
        <v>4.0999999999999996</v>
      </c>
      <c r="I34" s="12">
        <v>0</v>
      </c>
    </row>
    <row r="35" spans="2:9" ht="15" customHeight="1" x14ac:dyDescent="0.2">
      <c r="B35" t="s">
        <v>109</v>
      </c>
      <c r="C35" s="12">
        <v>19</v>
      </c>
      <c r="D35" s="8">
        <v>2.83</v>
      </c>
      <c r="E35" s="12">
        <v>12</v>
      </c>
      <c r="F35" s="8">
        <v>3.03</v>
      </c>
      <c r="G35" s="12">
        <v>7</v>
      </c>
      <c r="H35" s="8">
        <v>2.61</v>
      </c>
      <c r="I35" s="12">
        <v>0</v>
      </c>
    </row>
    <row r="36" spans="2:9" ht="15" customHeight="1" x14ac:dyDescent="0.2">
      <c r="B36" t="s">
        <v>130</v>
      </c>
      <c r="C36" s="12">
        <v>14</v>
      </c>
      <c r="D36" s="8">
        <v>2.09</v>
      </c>
      <c r="E36" s="12">
        <v>7</v>
      </c>
      <c r="F36" s="8">
        <v>1.77</v>
      </c>
      <c r="G36" s="12">
        <v>7</v>
      </c>
      <c r="H36" s="8">
        <v>2.61</v>
      </c>
      <c r="I36" s="12">
        <v>0</v>
      </c>
    </row>
    <row r="37" spans="2:9" ht="15" customHeight="1" x14ac:dyDescent="0.2">
      <c r="B37" t="s">
        <v>138</v>
      </c>
      <c r="C37" s="12">
        <v>14</v>
      </c>
      <c r="D37" s="8">
        <v>2.09</v>
      </c>
      <c r="E37" s="12">
        <v>5</v>
      </c>
      <c r="F37" s="8">
        <v>1.26</v>
      </c>
      <c r="G37" s="12">
        <v>9</v>
      </c>
      <c r="H37" s="8">
        <v>3.36</v>
      </c>
      <c r="I37" s="12">
        <v>0</v>
      </c>
    </row>
    <row r="38" spans="2:9" ht="15" customHeight="1" x14ac:dyDescent="0.2">
      <c r="B38" t="s">
        <v>110</v>
      </c>
      <c r="C38" s="12">
        <v>12</v>
      </c>
      <c r="D38" s="8">
        <v>1.79</v>
      </c>
      <c r="E38" s="12">
        <v>5</v>
      </c>
      <c r="F38" s="8">
        <v>1.26</v>
      </c>
      <c r="G38" s="12">
        <v>7</v>
      </c>
      <c r="H38" s="8">
        <v>2.61</v>
      </c>
      <c r="I38" s="12">
        <v>0</v>
      </c>
    </row>
    <row r="39" spans="2:9" ht="15" customHeight="1" x14ac:dyDescent="0.2">
      <c r="B39" t="s">
        <v>135</v>
      </c>
      <c r="C39" s="12">
        <v>10</v>
      </c>
      <c r="D39" s="8">
        <v>1.49</v>
      </c>
      <c r="E39" s="12">
        <v>5</v>
      </c>
      <c r="F39" s="8">
        <v>1.26</v>
      </c>
      <c r="G39" s="12">
        <v>5</v>
      </c>
      <c r="H39" s="8">
        <v>1.87</v>
      </c>
      <c r="I39" s="12">
        <v>0</v>
      </c>
    </row>
    <row r="40" spans="2:9" ht="15" customHeight="1" x14ac:dyDescent="0.2">
      <c r="B40" t="s">
        <v>101</v>
      </c>
      <c r="C40" s="12">
        <v>10</v>
      </c>
      <c r="D40" s="8">
        <v>1.49</v>
      </c>
      <c r="E40" s="12">
        <v>5</v>
      </c>
      <c r="F40" s="8">
        <v>1.26</v>
      </c>
      <c r="G40" s="12">
        <v>5</v>
      </c>
      <c r="H40" s="8">
        <v>1.87</v>
      </c>
      <c r="I40" s="12">
        <v>0</v>
      </c>
    </row>
    <row r="41" spans="2:9" ht="15" customHeight="1" x14ac:dyDescent="0.2">
      <c r="B41" t="s">
        <v>103</v>
      </c>
      <c r="C41" s="12">
        <v>10</v>
      </c>
      <c r="D41" s="8">
        <v>1.49</v>
      </c>
      <c r="E41" s="12">
        <v>4</v>
      </c>
      <c r="F41" s="8">
        <v>1.01</v>
      </c>
      <c r="G41" s="12">
        <v>6</v>
      </c>
      <c r="H41" s="8">
        <v>2.2400000000000002</v>
      </c>
      <c r="I41" s="12">
        <v>0</v>
      </c>
    </row>
    <row r="42" spans="2:9" ht="15" customHeight="1" x14ac:dyDescent="0.2">
      <c r="B42" t="s">
        <v>127</v>
      </c>
      <c r="C42" s="12">
        <v>9</v>
      </c>
      <c r="D42" s="8">
        <v>1.34</v>
      </c>
      <c r="E42" s="12">
        <v>6</v>
      </c>
      <c r="F42" s="8">
        <v>1.52</v>
      </c>
      <c r="G42" s="12">
        <v>3</v>
      </c>
      <c r="H42" s="8">
        <v>1.1200000000000001</v>
      </c>
      <c r="I42" s="12">
        <v>0</v>
      </c>
    </row>
    <row r="43" spans="2:9" ht="15" customHeight="1" x14ac:dyDescent="0.2">
      <c r="B43" t="s">
        <v>100</v>
      </c>
      <c r="C43" s="12">
        <v>9</v>
      </c>
      <c r="D43" s="8">
        <v>1.34</v>
      </c>
      <c r="E43" s="12">
        <v>5</v>
      </c>
      <c r="F43" s="8">
        <v>1.26</v>
      </c>
      <c r="G43" s="12">
        <v>4</v>
      </c>
      <c r="H43" s="8">
        <v>1.49</v>
      </c>
      <c r="I43" s="12">
        <v>0</v>
      </c>
    </row>
    <row r="44" spans="2:9" ht="15" customHeight="1" x14ac:dyDescent="0.2">
      <c r="B44" t="s">
        <v>117</v>
      </c>
      <c r="C44" s="12">
        <v>9</v>
      </c>
      <c r="D44" s="8">
        <v>1.34</v>
      </c>
      <c r="E44" s="12">
        <v>4</v>
      </c>
      <c r="F44" s="8">
        <v>1.01</v>
      </c>
      <c r="G44" s="12">
        <v>5</v>
      </c>
      <c r="H44" s="8">
        <v>1.87</v>
      </c>
      <c r="I44" s="12">
        <v>0</v>
      </c>
    </row>
    <row r="45" spans="2:9" ht="15" customHeight="1" x14ac:dyDescent="0.2">
      <c r="B45" t="s">
        <v>113</v>
      </c>
      <c r="C45" s="12">
        <v>9</v>
      </c>
      <c r="D45" s="8">
        <v>1.34</v>
      </c>
      <c r="E45" s="12">
        <v>6</v>
      </c>
      <c r="F45" s="8">
        <v>1.52</v>
      </c>
      <c r="G45" s="12">
        <v>3</v>
      </c>
      <c r="H45" s="8">
        <v>1.1200000000000001</v>
      </c>
      <c r="I45" s="12">
        <v>0</v>
      </c>
    </row>
    <row r="48" spans="2:9" ht="33" customHeight="1" x14ac:dyDescent="0.2">
      <c r="B48" t="s">
        <v>271</v>
      </c>
      <c r="C48" s="10" t="s">
        <v>90</v>
      </c>
      <c r="D48" s="10" t="s">
        <v>91</v>
      </c>
      <c r="E48" s="10" t="s">
        <v>92</v>
      </c>
      <c r="F48" s="10" t="s">
        <v>93</v>
      </c>
      <c r="G48" s="10" t="s">
        <v>94</v>
      </c>
      <c r="H48" s="10" t="s">
        <v>95</v>
      </c>
      <c r="I48" s="10" t="s">
        <v>96</v>
      </c>
    </row>
    <row r="49" spans="2:9" ht="15" customHeight="1" x14ac:dyDescent="0.2">
      <c r="B49" t="s">
        <v>173</v>
      </c>
      <c r="C49" s="12">
        <v>29</v>
      </c>
      <c r="D49" s="8">
        <v>4.32</v>
      </c>
      <c r="E49" s="12">
        <v>27</v>
      </c>
      <c r="F49" s="8">
        <v>6.82</v>
      </c>
      <c r="G49" s="12">
        <v>2</v>
      </c>
      <c r="H49" s="8">
        <v>0.75</v>
      </c>
      <c r="I49" s="12">
        <v>0</v>
      </c>
    </row>
    <row r="50" spans="2:9" ht="15" customHeight="1" x14ac:dyDescent="0.2">
      <c r="B50" t="s">
        <v>167</v>
      </c>
      <c r="C50" s="12">
        <v>23</v>
      </c>
      <c r="D50" s="8">
        <v>3.43</v>
      </c>
      <c r="E50" s="12">
        <v>15</v>
      </c>
      <c r="F50" s="8">
        <v>3.79</v>
      </c>
      <c r="G50" s="12">
        <v>8</v>
      </c>
      <c r="H50" s="8">
        <v>2.99</v>
      </c>
      <c r="I50" s="12">
        <v>0</v>
      </c>
    </row>
    <row r="51" spans="2:9" ht="15" customHeight="1" x14ac:dyDescent="0.2">
      <c r="B51" t="s">
        <v>172</v>
      </c>
      <c r="C51" s="12">
        <v>23</v>
      </c>
      <c r="D51" s="8">
        <v>3.43</v>
      </c>
      <c r="E51" s="12">
        <v>23</v>
      </c>
      <c r="F51" s="8">
        <v>5.81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174</v>
      </c>
      <c r="C52" s="12">
        <v>21</v>
      </c>
      <c r="D52" s="8">
        <v>3.13</v>
      </c>
      <c r="E52" s="12">
        <v>17</v>
      </c>
      <c r="F52" s="8">
        <v>4.29</v>
      </c>
      <c r="G52" s="12">
        <v>4</v>
      </c>
      <c r="H52" s="8">
        <v>1.49</v>
      </c>
      <c r="I52" s="12">
        <v>0</v>
      </c>
    </row>
    <row r="53" spans="2:9" ht="15" customHeight="1" x14ac:dyDescent="0.2">
      <c r="B53" t="s">
        <v>157</v>
      </c>
      <c r="C53" s="12">
        <v>19</v>
      </c>
      <c r="D53" s="8">
        <v>2.83</v>
      </c>
      <c r="E53" s="12">
        <v>3</v>
      </c>
      <c r="F53" s="8">
        <v>0.76</v>
      </c>
      <c r="G53" s="12">
        <v>16</v>
      </c>
      <c r="H53" s="8">
        <v>5.97</v>
      </c>
      <c r="I53" s="12">
        <v>0</v>
      </c>
    </row>
    <row r="54" spans="2:9" ht="15" customHeight="1" x14ac:dyDescent="0.2">
      <c r="B54" t="s">
        <v>170</v>
      </c>
      <c r="C54" s="12">
        <v>17</v>
      </c>
      <c r="D54" s="8">
        <v>2.5299999999999998</v>
      </c>
      <c r="E54" s="12">
        <v>16</v>
      </c>
      <c r="F54" s="8">
        <v>4.04</v>
      </c>
      <c r="G54" s="12">
        <v>1</v>
      </c>
      <c r="H54" s="8">
        <v>0.37</v>
      </c>
      <c r="I54" s="12">
        <v>0</v>
      </c>
    </row>
    <row r="55" spans="2:9" ht="15" customHeight="1" x14ac:dyDescent="0.2">
      <c r="B55" t="s">
        <v>162</v>
      </c>
      <c r="C55" s="12">
        <v>16</v>
      </c>
      <c r="D55" s="8">
        <v>2.38</v>
      </c>
      <c r="E55" s="12">
        <v>11</v>
      </c>
      <c r="F55" s="8">
        <v>2.78</v>
      </c>
      <c r="G55" s="12">
        <v>5</v>
      </c>
      <c r="H55" s="8">
        <v>1.87</v>
      </c>
      <c r="I55" s="12">
        <v>0</v>
      </c>
    </row>
    <row r="56" spans="2:9" ht="15" customHeight="1" x14ac:dyDescent="0.2">
      <c r="B56" t="s">
        <v>169</v>
      </c>
      <c r="C56" s="12">
        <v>16</v>
      </c>
      <c r="D56" s="8">
        <v>2.38</v>
      </c>
      <c r="E56" s="12">
        <v>14</v>
      </c>
      <c r="F56" s="8">
        <v>3.54</v>
      </c>
      <c r="G56" s="12">
        <v>2</v>
      </c>
      <c r="H56" s="8">
        <v>0.75</v>
      </c>
      <c r="I56" s="12">
        <v>0</v>
      </c>
    </row>
    <row r="57" spans="2:9" ht="15" customHeight="1" x14ac:dyDescent="0.2">
      <c r="B57" t="s">
        <v>175</v>
      </c>
      <c r="C57" s="12">
        <v>14</v>
      </c>
      <c r="D57" s="8">
        <v>2.09</v>
      </c>
      <c r="E57" s="12">
        <v>12</v>
      </c>
      <c r="F57" s="8">
        <v>3.03</v>
      </c>
      <c r="G57" s="12">
        <v>2</v>
      </c>
      <c r="H57" s="8">
        <v>0.75</v>
      </c>
      <c r="I57" s="12">
        <v>0</v>
      </c>
    </row>
    <row r="58" spans="2:9" ht="15" customHeight="1" x14ac:dyDescent="0.2">
      <c r="B58" t="s">
        <v>163</v>
      </c>
      <c r="C58" s="12">
        <v>13</v>
      </c>
      <c r="D58" s="8">
        <v>1.94</v>
      </c>
      <c r="E58" s="12">
        <v>8</v>
      </c>
      <c r="F58" s="8">
        <v>2.02</v>
      </c>
      <c r="G58" s="12">
        <v>5</v>
      </c>
      <c r="H58" s="8">
        <v>1.87</v>
      </c>
      <c r="I58" s="12">
        <v>0</v>
      </c>
    </row>
    <row r="59" spans="2:9" ht="15" customHeight="1" x14ac:dyDescent="0.2">
      <c r="B59" t="s">
        <v>164</v>
      </c>
      <c r="C59" s="12">
        <v>13</v>
      </c>
      <c r="D59" s="8">
        <v>1.94</v>
      </c>
      <c r="E59" s="12">
        <v>8</v>
      </c>
      <c r="F59" s="8">
        <v>2.02</v>
      </c>
      <c r="G59" s="12">
        <v>5</v>
      </c>
      <c r="H59" s="8">
        <v>1.87</v>
      </c>
      <c r="I59" s="12">
        <v>0</v>
      </c>
    </row>
    <row r="60" spans="2:9" ht="15" customHeight="1" x14ac:dyDescent="0.2">
      <c r="B60" t="s">
        <v>223</v>
      </c>
      <c r="C60" s="12">
        <v>12</v>
      </c>
      <c r="D60" s="8">
        <v>1.79</v>
      </c>
      <c r="E60" s="12">
        <v>7</v>
      </c>
      <c r="F60" s="8">
        <v>1.77</v>
      </c>
      <c r="G60" s="12">
        <v>5</v>
      </c>
      <c r="H60" s="8">
        <v>1.87</v>
      </c>
      <c r="I60" s="12">
        <v>0</v>
      </c>
    </row>
    <row r="61" spans="2:9" ht="15" customHeight="1" x14ac:dyDescent="0.2">
      <c r="B61" t="s">
        <v>188</v>
      </c>
      <c r="C61" s="12">
        <v>11</v>
      </c>
      <c r="D61" s="8">
        <v>1.64</v>
      </c>
      <c r="E61" s="12">
        <v>7</v>
      </c>
      <c r="F61" s="8">
        <v>1.77</v>
      </c>
      <c r="G61" s="12">
        <v>4</v>
      </c>
      <c r="H61" s="8">
        <v>1.49</v>
      </c>
      <c r="I61" s="12">
        <v>0</v>
      </c>
    </row>
    <row r="62" spans="2:9" ht="15" customHeight="1" x14ac:dyDescent="0.2">
      <c r="B62" t="s">
        <v>158</v>
      </c>
      <c r="C62" s="12">
        <v>10</v>
      </c>
      <c r="D62" s="8">
        <v>1.49</v>
      </c>
      <c r="E62" s="12">
        <v>3</v>
      </c>
      <c r="F62" s="8">
        <v>0.76</v>
      </c>
      <c r="G62" s="12">
        <v>7</v>
      </c>
      <c r="H62" s="8">
        <v>2.61</v>
      </c>
      <c r="I62" s="12">
        <v>0</v>
      </c>
    </row>
    <row r="63" spans="2:9" ht="15" customHeight="1" x14ac:dyDescent="0.2">
      <c r="B63" t="s">
        <v>177</v>
      </c>
      <c r="C63" s="12">
        <v>10</v>
      </c>
      <c r="D63" s="8">
        <v>1.49</v>
      </c>
      <c r="E63" s="12">
        <v>4</v>
      </c>
      <c r="F63" s="8">
        <v>1.01</v>
      </c>
      <c r="G63" s="12">
        <v>6</v>
      </c>
      <c r="H63" s="8">
        <v>2.2400000000000002</v>
      </c>
      <c r="I63" s="12">
        <v>0</v>
      </c>
    </row>
    <row r="64" spans="2:9" ht="15" customHeight="1" x14ac:dyDescent="0.2">
      <c r="B64" t="s">
        <v>220</v>
      </c>
      <c r="C64" s="12">
        <v>10</v>
      </c>
      <c r="D64" s="8">
        <v>1.49</v>
      </c>
      <c r="E64" s="12">
        <v>5</v>
      </c>
      <c r="F64" s="8">
        <v>1.26</v>
      </c>
      <c r="G64" s="12">
        <v>5</v>
      </c>
      <c r="H64" s="8">
        <v>1.87</v>
      </c>
      <c r="I64" s="12">
        <v>0</v>
      </c>
    </row>
    <row r="65" spans="2:9" ht="15" customHeight="1" x14ac:dyDescent="0.2">
      <c r="B65" t="s">
        <v>224</v>
      </c>
      <c r="C65" s="12">
        <v>10</v>
      </c>
      <c r="D65" s="8">
        <v>1.49</v>
      </c>
      <c r="E65" s="12">
        <v>8</v>
      </c>
      <c r="F65" s="8">
        <v>2.02</v>
      </c>
      <c r="G65" s="12">
        <v>2</v>
      </c>
      <c r="H65" s="8">
        <v>0.75</v>
      </c>
      <c r="I65" s="12">
        <v>0</v>
      </c>
    </row>
    <row r="66" spans="2:9" ht="15" customHeight="1" x14ac:dyDescent="0.2">
      <c r="B66" t="s">
        <v>159</v>
      </c>
      <c r="C66" s="12">
        <v>9</v>
      </c>
      <c r="D66" s="8">
        <v>1.34</v>
      </c>
      <c r="E66" s="12">
        <v>7</v>
      </c>
      <c r="F66" s="8">
        <v>1.77</v>
      </c>
      <c r="G66" s="12">
        <v>2</v>
      </c>
      <c r="H66" s="8">
        <v>0.75</v>
      </c>
      <c r="I66" s="12">
        <v>0</v>
      </c>
    </row>
    <row r="67" spans="2:9" ht="15" customHeight="1" x14ac:dyDescent="0.2">
      <c r="B67" t="s">
        <v>160</v>
      </c>
      <c r="C67" s="12">
        <v>9</v>
      </c>
      <c r="D67" s="8">
        <v>1.34</v>
      </c>
      <c r="E67" s="12">
        <v>3</v>
      </c>
      <c r="F67" s="8">
        <v>0.76</v>
      </c>
      <c r="G67" s="12">
        <v>6</v>
      </c>
      <c r="H67" s="8">
        <v>2.2400000000000002</v>
      </c>
      <c r="I67" s="12">
        <v>0</v>
      </c>
    </row>
    <row r="68" spans="2:9" ht="15" customHeight="1" x14ac:dyDescent="0.2">
      <c r="B68" t="s">
        <v>178</v>
      </c>
      <c r="C68" s="12">
        <v>9</v>
      </c>
      <c r="D68" s="8">
        <v>1.34</v>
      </c>
      <c r="E68" s="12">
        <v>4</v>
      </c>
      <c r="F68" s="8">
        <v>1.01</v>
      </c>
      <c r="G68" s="12">
        <v>5</v>
      </c>
      <c r="H68" s="8">
        <v>1.87</v>
      </c>
      <c r="I68" s="12">
        <v>0</v>
      </c>
    </row>
    <row r="69" spans="2:9" ht="15" customHeight="1" x14ac:dyDescent="0.2">
      <c r="B69" t="s">
        <v>179</v>
      </c>
      <c r="C69" s="12">
        <v>9</v>
      </c>
      <c r="D69" s="8">
        <v>1.34</v>
      </c>
      <c r="E69" s="12">
        <v>8</v>
      </c>
      <c r="F69" s="8">
        <v>2.02</v>
      </c>
      <c r="G69" s="12">
        <v>1</v>
      </c>
      <c r="H69" s="8">
        <v>0.37</v>
      </c>
      <c r="I69" s="12">
        <v>0</v>
      </c>
    </row>
    <row r="71" spans="2:9" ht="15" customHeight="1" x14ac:dyDescent="0.2">
      <c r="B71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3AB58-030F-4A1D-B7BC-E6BD1C2B98B9}">
  <sheetPr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330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131</v>
      </c>
      <c r="D6" s="8">
        <v>26.73</v>
      </c>
      <c r="E6" s="12">
        <v>57</v>
      </c>
      <c r="F6" s="8">
        <v>25</v>
      </c>
      <c r="G6" s="12">
        <v>74</v>
      </c>
      <c r="H6" s="8">
        <v>28.46</v>
      </c>
      <c r="I6" s="12">
        <v>0</v>
      </c>
    </row>
    <row r="7" spans="2:9" ht="15" customHeight="1" x14ac:dyDescent="0.2">
      <c r="B7" t="s">
        <v>76</v>
      </c>
      <c r="C7" s="12">
        <v>101</v>
      </c>
      <c r="D7" s="8">
        <v>20.61</v>
      </c>
      <c r="E7" s="12">
        <v>25</v>
      </c>
      <c r="F7" s="8">
        <v>10.96</v>
      </c>
      <c r="G7" s="12">
        <v>76</v>
      </c>
      <c r="H7" s="8">
        <v>29.23</v>
      </c>
      <c r="I7" s="12">
        <v>0</v>
      </c>
    </row>
    <row r="8" spans="2:9" ht="15" customHeight="1" x14ac:dyDescent="0.2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78</v>
      </c>
      <c r="C9" s="12">
        <v>3</v>
      </c>
      <c r="D9" s="8">
        <v>0.61</v>
      </c>
      <c r="E9" s="12">
        <v>0</v>
      </c>
      <c r="F9" s="8">
        <v>0</v>
      </c>
      <c r="G9" s="12">
        <v>3</v>
      </c>
      <c r="H9" s="8">
        <v>1.1499999999999999</v>
      </c>
      <c r="I9" s="12">
        <v>0</v>
      </c>
    </row>
    <row r="10" spans="2:9" ht="15" customHeight="1" x14ac:dyDescent="0.2">
      <c r="B10" t="s">
        <v>79</v>
      </c>
      <c r="C10" s="12">
        <v>6</v>
      </c>
      <c r="D10" s="8">
        <v>1.22</v>
      </c>
      <c r="E10" s="12">
        <v>0</v>
      </c>
      <c r="F10" s="8">
        <v>0</v>
      </c>
      <c r="G10" s="12">
        <v>6</v>
      </c>
      <c r="H10" s="8">
        <v>2.31</v>
      </c>
      <c r="I10" s="12">
        <v>0</v>
      </c>
    </row>
    <row r="11" spans="2:9" ht="15" customHeight="1" x14ac:dyDescent="0.2">
      <c r="B11" t="s">
        <v>80</v>
      </c>
      <c r="C11" s="12">
        <v>80</v>
      </c>
      <c r="D11" s="8">
        <v>16.329999999999998</v>
      </c>
      <c r="E11" s="12">
        <v>41</v>
      </c>
      <c r="F11" s="8">
        <v>17.98</v>
      </c>
      <c r="G11" s="12">
        <v>39</v>
      </c>
      <c r="H11" s="8">
        <v>15</v>
      </c>
      <c r="I11" s="12">
        <v>0</v>
      </c>
    </row>
    <row r="12" spans="2:9" ht="15" customHeight="1" x14ac:dyDescent="0.2">
      <c r="B12" t="s">
        <v>81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82</v>
      </c>
      <c r="C13" s="12">
        <v>19</v>
      </c>
      <c r="D13" s="8">
        <v>3.88</v>
      </c>
      <c r="E13" s="12">
        <v>1</v>
      </c>
      <c r="F13" s="8">
        <v>0.44</v>
      </c>
      <c r="G13" s="12">
        <v>18</v>
      </c>
      <c r="H13" s="8">
        <v>6.92</v>
      </c>
      <c r="I13" s="12">
        <v>0</v>
      </c>
    </row>
    <row r="14" spans="2:9" ht="15" customHeight="1" x14ac:dyDescent="0.2">
      <c r="B14" t="s">
        <v>83</v>
      </c>
      <c r="C14" s="12">
        <v>13</v>
      </c>
      <c r="D14" s="8">
        <v>2.65</v>
      </c>
      <c r="E14" s="12">
        <v>3</v>
      </c>
      <c r="F14" s="8">
        <v>1.32</v>
      </c>
      <c r="G14" s="12">
        <v>10</v>
      </c>
      <c r="H14" s="8">
        <v>3.85</v>
      </c>
      <c r="I14" s="12">
        <v>0</v>
      </c>
    </row>
    <row r="15" spans="2:9" ht="15" customHeight="1" x14ac:dyDescent="0.2">
      <c r="B15" t="s">
        <v>84</v>
      </c>
      <c r="C15" s="12">
        <v>40</v>
      </c>
      <c r="D15" s="8">
        <v>8.16</v>
      </c>
      <c r="E15" s="12">
        <v>36</v>
      </c>
      <c r="F15" s="8">
        <v>15.79</v>
      </c>
      <c r="G15" s="12">
        <v>3</v>
      </c>
      <c r="H15" s="8">
        <v>1.1499999999999999</v>
      </c>
      <c r="I15" s="12">
        <v>0</v>
      </c>
    </row>
    <row r="16" spans="2:9" ht="15" customHeight="1" x14ac:dyDescent="0.2">
      <c r="B16" t="s">
        <v>85</v>
      </c>
      <c r="C16" s="12">
        <v>40</v>
      </c>
      <c r="D16" s="8">
        <v>8.16</v>
      </c>
      <c r="E16" s="12">
        <v>33</v>
      </c>
      <c r="F16" s="8">
        <v>14.47</v>
      </c>
      <c r="G16" s="12">
        <v>7</v>
      </c>
      <c r="H16" s="8">
        <v>2.69</v>
      </c>
      <c r="I16" s="12">
        <v>0</v>
      </c>
    </row>
    <row r="17" spans="2:9" ht="15" customHeight="1" x14ac:dyDescent="0.2">
      <c r="B17" t="s">
        <v>86</v>
      </c>
      <c r="C17" s="12">
        <v>14</v>
      </c>
      <c r="D17" s="8">
        <v>2.86</v>
      </c>
      <c r="E17" s="12">
        <v>10</v>
      </c>
      <c r="F17" s="8">
        <v>4.3899999999999997</v>
      </c>
      <c r="G17" s="12">
        <v>3</v>
      </c>
      <c r="H17" s="8">
        <v>1.1499999999999999</v>
      </c>
      <c r="I17" s="12">
        <v>0</v>
      </c>
    </row>
    <row r="18" spans="2:9" ht="15" customHeight="1" x14ac:dyDescent="0.2">
      <c r="B18" t="s">
        <v>87</v>
      </c>
      <c r="C18" s="12">
        <v>13</v>
      </c>
      <c r="D18" s="8">
        <v>2.65</v>
      </c>
      <c r="E18" s="12">
        <v>8</v>
      </c>
      <c r="F18" s="8">
        <v>3.51</v>
      </c>
      <c r="G18" s="12">
        <v>5</v>
      </c>
      <c r="H18" s="8">
        <v>1.92</v>
      </c>
      <c r="I18" s="12">
        <v>0</v>
      </c>
    </row>
    <row r="19" spans="2:9" ht="15" customHeight="1" x14ac:dyDescent="0.2">
      <c r="B19" t="s">
        <v>88</v>
      </c>
      <c r="C19" s="12">
        <v>30</v>
      </c>
      <c r="D19" s="8">
        <v>6.12</v>
      </c>
      <c r="E19" s="12">
        <v>14</v>
      </c>
      <c r="F19" s="8">
        <v>6.14</v>
      </c>
      <c r="G19" s="12">
        <v>16</v>
      </c>
      <c r="H19" s="8">
        <v>6.15</v>
      </c>
      <c r="I19" s="12">
        <v>0</v>
      </c>
    </row>
    <row r="20" spans="2:9" ht="15" customHeight="1" x14ac:dyDescent="0.2">
      <c r="B20" s="9" t="s">
        <v>269</v>
      </c>
      <c r="C20" s="12">
        <f>SUM(LTBL_11346[総数／事業所数])</f>
        <v>490</v>
      </c>
      <c r="E20" s="12">
        <f>SUBTOTAL(109,LTBL_11346[個人／事業所数])</f>
        <v>228</v>
      </c>
      <c r="G20" s="12">
        <f>SUBTOTAL(109,LTBL_11346[法人／事業所数])</f>
        <v>260</v>
      </c>
      <c r="I20" s="12">
        <f>SUBTOTAL(109,LTBL_11346[法人以外の団体／事業所数])</f>
        <v>0</v>
      </c>
    </row>
    <row r="21" spans="2:9" ht="15" customHeight="1" x14ac:dyDescent="0.2">
      <c r="E21" s="11">
        <f>LTBL_11346[[#Totals],[個人／事業所数]]/LTBL_11346[[#Totals],[総数／事業所数]]</f>
        <v>0.46530612244897956</v>
      </c>
      <c r="G21" s="11">
        <f>LTBL_11346[[#Totals],[法人／事業所数]]/LTBL_11346[[#Totals],[総数／事業所数]]</f>
        <v>0.53061224489795922</v>
      </c>
      <c r="I21" s="11">
        <f>LTBL_11346[[#Totals],[法人以外の団体／事業所数]]/LTBL_11346[[#Totals],[総数／事業所数]]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98</v>
      </c>
      <c r="C24" s="12">
        <v>50</v>
      </c>
      <c r="D24" s="8">
        <v>10.199999999999999</v>
      </c>
      <c r="E24" s="12">
        <v>22</v>
      </c>
      <c r="F24" s="8">
        <v>9.65</v>
      </c>
      <c r="G24" s="12">
        <v>28</v>
      </c>
      <c r="H24" s="8">
        <v>10.77</v>
      </c>
      <c r="I24" s="12">
        <v>0</v>
      </c>
    </row>
    <row r="25" spans="2:9" ht="15" customHeight="1" x14ac:dyDescent="0.2">
      <c r="B25" t="s">
        <v>97</v>
      </c>
      <c r="C25" s="12">
        <v>48</v>
      </c>
      <c r="D25" s="8">
        <v>9.8000000000000007</v>
      </c>
      <c r="E25" s="12">
        <v>23</v>
      </c>
      <c r="F25" s="8">
        <v>10.09</v>
      </c>
      <c r="G25" s="12">
        <v>25</v>
      </c>
      <c r="H25" s="8">
        <v>9.6199999999999992</v>
      </c>
      <c r="I25" s="12">
        <v>0</v>
      </c>
    </row>
    <row r="26" spans="2:9" ht="15" customHeight="1" x14ac:dyDescent="0.2">
      <c r="B26" t="s">
        <v>111</v>
      </c>
      <c r="C26" s="12">
        <v>38</v>
      </c>
      <c r="D26" s="8">
        <v>7.76</v>
      </c>
      <c r="E26" s="12">
        <v>36</v>
      </c>
      <c r="F26" s="8">
        <v>15.79</v>
      </c>
      <c r="G26" s="12">
        <v>2</v>
      </c>
      <c r="H26" s="8">
        <v>0.77</v>
      </c>
      <c r="I26" s="12">
        <v>0</v>
      </c>
    </row>
    <row r="27" spans="2:9" ht="15" customHeight="1" x14ac:dyDescent="0.2">
      <c r="B27" t="s">
        <v>112</v>
      </c>
      <c r="C27" s="12">
        <v>35</v>
      </c>
      <c r="D27" s="8">
        <v>7.14</v>
      </c>
      <c r="E27" s="12">
        <v>32</v>
      </c>
      <c r="F27" s="8">
        <v>14.04</v>
      </c>
      <c r="G27" s="12">
        <v>3</v>
      </c>
      <c r="H27" s="8">
        <v>1.1499999999999999</v>
      </c>
      <c r="I27" s="12">
        <v>0</v>
      </c>
    </row>
    <row r="28" spans="2:9" ht="15" customHeight="1" x14ac:dyDescent="0.2">
      <c r="B28" t="s">
        <v>99</v>
      </c>
      <c r="C28" s="12">
        <v>33</v>
      </c>
      <c r="D28" s="8">
        <v>6.73</v>
      </c>
      <c r="E28" s="12">
        <v>12</v>
      </c>
      <c r="F28" s="8">
        <v>5.26</v>
      </c>
      <c r="G28" s="12">
        <v>21</v>
      </c>
      <c r="H28" s="8">
        <v>8.08</v>
      </c>
      <c r="I28" s="12">
        <v>0</v>
      </c>
    </row>
    <row r="29" spans="2:9" ht="15" customHeight="1" x14ac:dyDescent="0.2">
      <c r="B29" t="s">
        <v>100</v>
      </c>
      <c r="C29" s="12">
        <v>26</v>
      </c>
      <c r="D29" s="8">
        <v>5.31</v>
      </c>
      <c r="E29" s="12">
        <v>5</v>
      </c>
      <c r="F29" s="8">
        <v>2.19</v>
      </c>
      <c r="G29" s="12">
        <v>21</v>
      </c>
      <c r="H29" s="8">
        <v>8.08</v>
      </c>
      <c r="I29" s="12">
        <v>0</v>
      </c>
    </row>
    <row r="30" spans="2:9" ht="15" customHeight="1" x14ac:dyDescent="0.2">
      <c r="B30" t="s">
        <v>116</v>
      </c>
      <c r="C30" s="12">
        <v>21</v>
      </c>
      <c r="D30" s="8">
        <v>4.29</v>
      </c>
      <c r="E30" s="12">
        <v>12</v>
      </c>
      <c r="F30" s="8">
        <v>5.26</v>
      </c>
      <c r="G30" s="12">
        <v>9</v>
      </c>
      <c r="H30" s="8">
        <v>3.46</v>
      </c>
      <c r="I30" s="12">
        <v>0</v>
      </c>
    </row>
    <row r="31" spans="2:9" ht="15" customHeight="1" x14ac:dyDescent="0.2">
      <c r="B31" t="s">
        <v>105</v>
      </c>
      <c r="C31" s="12">
        <v>18</v>
      </c>
      <c r="D31" s="8">
        <v>3.67</v>
      </c>
      <c r="E31" s="12">
        <v>14</v>
      </c>
      <c r="F31" s="8">
        <v>6.14</v>
      </c>
      <c r="G31" s="12">
        <v>4</v>
      </c>
      <c r="H31" s="8">
        <v>1.54</v>
      </c>
      <c r="I31" s="12">
        <v>0</v>
      </c>
    </row>
    <row r="32" spans="2:9" ht="15" customHeight="1" x14ac:dyDescent="0.2">
      <c r="B32" t="s">
        <v>106</v>
      </c>
      <c r="C32" s="12">
        <v>18</v>
      </c>
      <c r="D32" s="8">
        <v>3.67</v>
      </c>
      <c r="E32" s="12">
        <v>7</v>
      </c>
      <c r="F32" s="8">
        <v>3.07</v>
      </c>
      <c r="G32" s="12">
        <v>11</v>
      </c>
      <c r="H32" s="8">
        <v>4.2300000000000004</v>
      </c>
      <c r="I32" s="12">
        <v>0</v>
      </c>
    </row>
    <row r="33" spans="2:9" ht="15" customHeight="1" x14ac:dyDescent="0.2">
      <c r="B33" t="s">
        <v>114</v>
      </c>
      <c r="C33" s="12">
        <v>14</v>
      </c>
      <c r="D33" s="8">
        <v>2.86</v>
      </c>
      <c r="E33" s="12">
        <v>10</v>
      </c>
      <c r="F33" s="8">
        <v>4.3899999999999997</v>
      </c>
      <c r="G33" s="12">
        <v>3</v>
      </c>
      <c r="H33" s="8">
        <v>1.1499999999999999</v>
      </c>
      <c r="I33" s="12">
        <v>0</v>
      </c>
    </row>
    <row r="34" spans="2:9" ht="15" customHeight="1" x14ac:dyDescent="0.2">
      <c r="B34" t="s">
        <v>125</v>
      </c>
      <c r="C34" s="12">
        <v>13</v>
      </c>
      <c r="D34" s="8">
        <v>2.65</v>
      </c>
      <c r="E34" s="12">
        <v>7</v>
      </c>
      <c r="F34" s="8">
        <v>3.07</v>
      </c>
      <c r="G34" s="12">
        <v>6</v>
      </c>
      <c r="H34" s="8">
        <v>2.31</v>
      </c>
      <c r="I34" s="12">
        <v>0</v>
      </c>
    </row>
    <row r="35" spans="2:9" ht="15" customHeight="1" x14ac:dyDescent="0.2">
      <c r="B35" t="s">
        <v>115</v>
      </c>
      <c r="C35" s="12">
        <v>11</v>
      </c>
      <c r="D35" s="8">
        <v>2.2400000000000002</v>
      </c>
      <c r="E35" s="12">
        <v>8</v>
      </c>
      <c r="F35" s="8">
        <v>3.51</v>
      </c>
      <c r="G35" s="12">
        <v>3</v>
      </c>
      <c r="H35" s="8">
        <v>1.1499999999999999</v>
      </c>
      <c r="I35" s="12">
        <v>0</v>
      </c>
    </row>
    <row r="36" spans="2:9" ht="15" customHeight="1" x14ac:dyDescent="0.2">
      <c r="B36" t="s">
        <v>120</v>
      </c>
      <c r="C36" s="12">
        <v>10</v>
      </c>
      <c r="D36" s="8">
        <v>2.04</v>
      </c>
      <c r="E36" s="12">
        <v>2</v>
      </c>
      <c r="F36" s="8">
        <v>0.88</v>
      </c>
      <c r="G36" s="12">
        <v>8</v>
      </c>
      <c r="H36" s="8">
        <v>3.08</v>
      </c>
      <c r="I36" s="12">
        <v>0</v>
      </c>
    </row>
    <row r="37" spans="2:9" ht="15" customHeight="1" x14ac:dyDescent="0.2">
      <c r="B37" t="s">
        <v>104</v>
      </c>
      <c r="C37" s="12">
        <v>10</v>
      </c>
      <c r="D37" s="8">
        <v>2.04</v>
      </c>
      <c r="E37" s="12">
        <v>8</v>
      </c>
      <c r="F37" s="8">
        <v>3.51</v>
      </c>
      <c r="G37" s="12">
        <v>2</v>
      </c>
      <c r="H37" s="8">
        <v>0.77</v>
      </c>
      <c r="I37" s="12">
        <v>0</v>
      </c>
    </row>
    <row r="38" spans="2:9" ht="15" customHeight="1" x14ac:dyDescent="0.2">
      <c r="B38" t="s">
        <v>128</v>
      </c>
      <c r="C38" s="12">
        <v>8</v>
      </c>
      <c r="D38" s="8">
        <v>1.63</v>
      </c>
      <c r="E38" s="12">
        <v>3</v>
      </c>
      <c r="F38" s="8">
        <v>1.32</v>
      </c>
      <c r="G38" s="12">
        <v>5</v>
      </c>
      <c r="H38" s="8">
        <v>1.92</v>
      </c>
      <c r="I38" s="12">
        <v>0</v>
      </c>
    </row>
    <row r="39" spans="2:9" ht="15" customHeight="1" x14ac:dyDescent="0.2">
      <c r="B39" t="s">
        <v>102</v>
      </c>
      <c r="C39" s="12">
        <v>8</v>
      </c>
      <c r="D39" s="8">
        <v>1.63</v>
      </c>
      <c r="E39" s="12">
        <v>1</v>
      </c>
      <c r="F39" s="8">
        <v>0.44</v>
      </c>
      <c r="G39" s="12">
        <v>7</v>
      </c>
      <c r="H39" s="8">
        <v>2.69</v>
      </c>
      <c r="I39" s="12">
        <v>0</v>
      </c>
    </row>
    <row r="40" spans="2:9" ht="15" customHeight="1" x14ac:dyDescent="0.2">
      <c r="B40" t="s">
        <v>101</v>
      </c>
      <c r="C40" s="12">
        <v>7</v>
      </c>
      <c r="D40" s="8">
        <v>1.43</v>
      </c>
      <c r="E40" s="12">
        <v>2</v>
      </c>
      <c r="F40" s="8">
        <v>0.88</v>
      </c>
      <c r="G40" s="12">
        <v>5</v>
      </c>
      <c r="H40" s="8">
        <v>1.92</v>
      </c>
      <c r="I40" s="12">
        <v>0</v>
      </c>
    </row>
    <row r="41" spans="2:9" ht="15" customHeight="1" x14ac:dyDescent="0.2">
      <c r="B41" t="s">
        <v>140</v>
      </c>
      <c r="C41" s="12">
        <v>7</v>
      </c>
      <c r="D41" s="8">
        <v>1.43</v>
      </c>
      <c r="E41" s="12">
        <v>0</v>
      </c>
      <c r="F41" s="8">
        <v>0</v>
      </c>
      <c r="G41" s="12">
        <v>7</v>
      </c>
      <c r="H41" s="8">
        <v>2.69</v>
      </c>
      <c r="I41" s="12">
        <v>0</v>
      </c>
    </row>
    <row r="42" spans="2:9" ht="15" customHeight="1" x14ac:dyDescent="0.2">
      <c r="B42" t="s">
        <v>110</v>
      </c>
      <c r="C42" s="12">
        <v>7</v>
      </c>
      <c r="D42" s="8">
        <v>1.43</v>
      </c>
      <c r="E42" s="12">
        <v>1</v>
      </c>
      <c r="F42" s="8">
        <v>0.44</v>
      </c>
      <c r="G42" s="12">
        <v>6</v>
      </c>
      <c r="H42" s="8">
        <v>2.31</v>
      </c>
      <c r="I42" s="12">
        <v>0</v>
      </c>
    </row>
    <row r="43" spans="2:9" ht="15" customHeight="1" x14ac:dyDescent="0.2">
      <c r="B43" t="s">
        <v>139</v>
      </c>
      <c r="C43" s="12">
        <v>6</v>
      </c>
      <c r="D43" s="8">
        <v>1.22</v>
      </c>
      <c r="E43" s="12">
        <v>1</v>
      </c>
      <c r="F43" s="8">
        <v>0.44</v>
      </c>
      <c r="G43" s="12">
        <v>5</v>
      </c>
      <c r="H43" s="8">
        <v>1.92</v>
      </c>
      <c r="I43" s="12">
        <v>0</v>
      </c>
    </row>
    <row r="44" spans="2:9" ht="15" customHeight="1" x14ac:dyDescent="0.2">
      <c r="B44" t="s">
        <v>121</v>
      </c>
      <c r="C44" s="12">
        <v>6</v>
      </c>
      <c r="D44" s="8">
        <v>1.22</v>
      </c>
      <c r="E44" s="12">
        <v>3</v>
      </c>
      <c r="F44" s="8">
        <v>1.32</v>
      </c>
      <c r="G44" s="12">
        <v>3</v>
      </c>
      <c r="H44" s="8">
        <v>1.1499999999999999</v>
      </c>
      <c r="I44" s="12">
        <v>0</v>
      </c>
    </row>
    <row r="45" spans="2:9" ht="15" customHeight="1" x14ac:dyDescent="0.2">
      <c r="B45" t="s">
        <v>103</v>
      </c>
      <c r="C45" s="12">
        <v>6</v>
      </c>
      <c r="D45" s="8">
        <v>1.22</v>
      </c>
      <c r="E45" s="12">
        <v>4</v>
      </c>
      <c r="F45" s="8">
        <v>1.75</v>
      </c>
      <c r="G45" s="12">
        <v>2</v>
      </c>
      <c r="H45" s="8">
        <v>0.77</v>
      </c>
      <c r="I45" s="12">
        <v>0</v>
      </c>
    </row>
    <row r="46" spans="2:9" ht="15" customHeight="1" x14ac:dyDescent="0.2">
      <c r="B46" t="s">
        <v>107</v>
      </c>
      <c r="C46" s="12">
        <v>6</v>
      </c>
      <c r="D46" s="8">
        <v>1.22</v>
      </c>
      <c r="E46" s="12">
        <v>1</v>
      </c>
      <c r="F46" s="8">
        <v>0.44</v>
      </c>
      <c r="G46" s="12">
        <v>5</v>
      </c>
      <c r="H46" s="8">
        <v>1.92</v>
      </c>
      <c r="I46" s="12">
        <v>0</v>
      </c>
    </row>
    <row r="47" spans="2:9" ht="15" customHeight="1" x14ac:dyDescent="0.2">
      <c r="B47" t="s">
        <v>108</v>
      </c>
      <c r="C47" s="12">
        <v>6</v>
      </c>
      <c r="D47" s="8">
        <v>1.22</v>
      </c>
      <c r="E47" s="12">
        <v>0</v>
      </c>
      <c r="F47" s="8">
        <v>0</v>
      </c>
      <c r="G47" s="12">
        <v>6</v>
      </c>
      <c r="H47" s="8">
        <v>2.31</v>
      </c>
      <c r="I47" s="12">
        <v>0</v>
      </c>
    </row>
    <row r="48" spans="2:9" ht="15" customHeight="1" x14ac:dyDescent="0.2">
      <c r="B48" t="s">
        <v>109</v>
      </c>
      <c r="C48" s="12">
        <v>6</v>
      </c>
      <c r="D48" s="8">
        <v>1.22</v>
      </c>
      <c r="E48" s="12">
        <v>2</v>
      </c>
      <c r="F48" s="8">
        <v>0.88</v>
      </c>
      <c r="G48" s="12">
        <v>4</v>
      </c>
      <c r="H48" s="8">
        <v>1.54</v>
      </c>
      <c r="I48" s="12">
        <v>0</v>
      </c>
    </row>
    <row r="51" spans="2:9" ht="33" customHeight="1" x14ac:dyDescent="0.2">
      <c r="B51" t="s">
        <v>271</v>
      </c>
      <c r="C51" s="10" t="s">
        <v>90</v>
      </c>
      <c r="D51" s="10" t="s">
        <v>91</v>
      </c>
      <c r="E51" s="10" t="s">
        <v>92</v>
      </c>
      <c r="F51" s="10" t="s">
        <v>93</v>
      </c>
      <c r="G51" s="10" t="s">
        <v>94</v>
      </c>
      <c r="H51" s="10" t="s">
        <v>95</v>
      </c>
      <c r="I51" s="10" t="s">
        <v>96</v>
      </c>
    </row>
    <row r="52" spans="2:9" ht="15" customHeight="1" x14ac:dyDescent="0.2">
      <c r="B52" t="s">
        <v>176</v>
      </c>
      <c r="C52" s="12">
        <v>21</v>
      </c>
      <c r="D52" s="8">
        <v>4.29</v>
      </c>
      <c r="E52" s="12">
        <v>12</v>
      </c>
      <c r="F52" s="8">
        <v>5.26</v>
      </c>
      <c r="G52" s="12">
        <v>9</v>
      </c>
      <c r="H52" s="8">
        <v>3.46</v>
      </c>
      <c r="I52" s="12">
        <v>0</v>
      </c>
    </row>
    <row r="53" spans="2:9" ht="15" customHeight="1" x14ac:dyDescent="0.2">
      <c r="B53" t="s">
        <v>160</v>
      </c>
      <c r="C53" s="12">
        <v>17</v>
      </c>
      <c r="D53" s="8">
        <v>3.47</v>
      </c>
      <c r="E53" s="12">
        <v>9</v>
      </c>
      <c r="F53" s="8">
        <v>3.95</v>
      </c>
      <c r="G53" s="12">
        <v>8</v>
      </c>
      <c r="H53" s="8">
        <v>3.08</v>
      </c>
      <c r="I53" s="12">
        <v>0</v>
      </c>
    </row>
    <row r="54" spans="2:9" ht="15" customHeight="1" x14ac:dyDescent="0.2">
      <c r="B54" t="s">
        <v>170</v>
      </c>
      <c r="C54" s="12">
        <v>16</v>
      </c>
      <c r="D54" s="8">
        <v>3.27</v>
      </c>
      <c r="E54" s="12">
        <v>16</v>
      </c>
      <c r="F54" s="8">
        <v>7.02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172</v>
      </c>
      <c r="C55" s="12">
        <v>16</v>
      </c>
      <c r="D55" s="8">
        <v>3.27</v>
      </c>
      <c r="E55" s="12">
        <v>16</v>
      </c>
      <c r="F55" s="8">
        <v>7.02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158</v>
      </c>
      <c r="C56" s="12">
        <v>15</v>
      </c>
      <c r="D56" s="8">
        <v>3.06</v>
      </c>
      <c r="E56" s="12">
        <v>5</v>
      </c>
      <c r="F56" s="8">
        <v>2.19</v>
      </c>
      <c r="G56" s="12">
        <v>10</v>
      </c>
      <c r="H56" s="8">
        <v>3.85</v>
      </c>
      <c r="I56" s="12">
        <v>0</v>
      </c>
    </row>
    <row r="57" spans="2:9" ht="15" customHeight="1" x14ac:dyDescent="0.2">
      <c r="B57" t="s">
        <v>173</v>
      </c>
      <c r="C57" s="12">
        <v>15</v>
      </c>
      <c r="D57" s="8">
        <v>3.06</v>
      </c>
      <c r="E57" s="12">
        <v>14</v>
      </c>
      <c r="F57" s="8">
        <v>6.14</v>
      </c>
      <c r="G57" s="12">
        <v>1</v>
      </c>
      <c r="H57" s="8">
        <v>0.38</v>
      </c>
      <c r="I57" s="12">
        <v>0</v>
      </c>
    </row>
    <row r="58" spans="2:9" ht="15" customHeight="1" x14ac:dyDescent="0.2">
      <c r="B58" t="s">
        <v>157</v>
      </c>
      <c r="C58" s="12">
        <v>14</v>
      </c>
      <c r="D58" s="8">
        <v>2.86</v>
      </c>
      <c r="E58" s="12">
        <v>4</v>
      </c>
      <c r="F58" s="8">
        <v>1.75</v>
      </c>
      <c r="G58" s="12">
        <v>10</v>
      </c>
      <c r="H58" s="8">
        <v>3.85</v>
      </c>
      <c r="I58" s="12">
        <v>0</v>
      </c>
    </row>
    <row r="59" spans="2:9" ht="15" customHeight="1" x14ac:dyDescent="0.2">
      <c r="B59" t="s">
        <v>159</v>
      </c>
      <c r="C59" s="12">
        <v>14</v>
      </c>
      <c r="D59" s="8">
        <v>2.86</v>
      </c>
      <c r="E59" s="12">
        <v>12</v>
      </c>
      <c r="F59" s="8">
        <v>5.26</v>
      </c>
      <c r="G59" s="12">
        <v>2</v>
      </c>
      <c r="H59" s="8">
        <v>0.77</v>
      </c>
      <c r="I59" s="12">
        <v>0</v>
      </c>
    </row>
    <row r="60" spans="2:9" ht="15" customHeight="1" x14ac:dyDescent="0.2">
      <c r="B60" t="s">
        <v>182</v>
      </c>
      <c r="C60" s="12">
        <v>13</v>
      </c>
      <c r="D60" s="8">
        <v>2.65</v>
      </c>
      <c r="E60" s="12">
        <v>5</v>
      </c>
      <c r="F60" s="8">
        <v>2.19</v>
      </c>
      <c r="G60" s="12">
        <v>8</v>
      </c>
      <c r="H60" s="8">
        <v>3.08</v>
      </c>
      <c r="I60" s="12">
        <v>0</v>
      </c>
    </row>
    <row r="61" spans="2:9" ht="15" customHeight="1" x14ac:dyDescent="0.2">
      <c r="B61" t="s">
        <v>161</v>
      </c>
      <c r="C61" s="12">
        <v>13</v>
      </c>
      <c r="D61" s="8">
        <v>2.65</v>
      </c>
      <c r="E61" s="12">
        <v>2</v>
      </c>
      <c r="F61" s="8">
        <v>0.88</v>
      </c>
      <c r="G61" s="12">
        <v>11</v>
      </c>
      <c r="H61" s="8">
        <v>4.2300000000000004</v>
      </c>
      <c r="I61" s="12">
        <v>0</v>
      </c>
    </row>
    <row r="62" spans="2:9" ht="15" customHeight="1" x14ac:dyDescent="0.2">
      <c r="B62" t="s">
        <v>200</v>
      </c>
      <c r="C62" s="12">
        <v>13</v>
      </c>
      <c r="D62" s="8">
        <v>2.65</v>
      </c>
      <c r="E62" s="12">
        <v>2</v>
      </c>
      <c r="F62" s="8">
        <v>0.88</v>
      </c>
      <c r="G62" s="12">
        <v>11</v>
      </c>
      <c r="H62" s="8">
        <v>4.2300000000000004</v>
      </c>
      <c r="I62" s="12">
        <v>0</v>
      </c>
    </row>
    <row r="63" spans="2:9" ht="15" customHeight="1" x14ac:dyDescent="0.2">
      <c r="B63" t="s">
        <v>163</v>
      </c>
      <c r="C63" s="12">
        <v>12</v>
      </c>
      <c r="D63" s="8">
        <v>2.4500000000000002</v>
      </c>
      <c r="E63" s="12">
        <v>8</v>
      </c>
      <c r="F63" s="8">
        <v>3.51</v>
      </c>
      <c r="G63" s="12">
        <v>4</v>
      </c>
      <c r="H63" s="8">
        <v>1.54</v>
      </c>
      <c r="I63" s="12">
        <v>0</v>
      </c>
    </row>
    <row r="64" spans="2:9" ht="15" customHeight="1" x14ac:dyDescent="0.2">
      <c r="B64" t="s">
        <v>230</v>
      </c>
      <c r="C64" s="12">
        <v>8</v>
      </c>
      <c r="D64" s="8">
        <v>1.63</v>
      </c>
      <c r="E64" s="12">
        <v>4</v>
      </c>
      <c r="F64" s="8">
        <v>1.75</v>
      </c>
      <c r="G64" s="12">
        <v>4</v>
      </c>
      <c r="H64" s="8">
        <v>1.54</v>
      </c>
      <c r="I64" s="12">
        <v>0</v>
      </c>
    </row>
    <row r="65" spans="2:9" ht="15" customHeight="1" x14ac:dyDescent="0.2">
      <c r="B65" t="s">
        <v>174</v>
      </c>
      <c r="C65" s="12">
        <v>8</v>
      </c>
      <c r="D65" s="8">
        <v>1.63</v>
      </c>
      <c r="E65" s="12">
        <v>8</v>
      </c>
      <c r="F65" s="8">
        <v>3.51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181</v>
      </c>
      <c r="C66" s="12">
        <v>7</v>
      </c>
      <c r="D66" s="8">
        <v>1.43</v>
      </c>
      <c r="E66" s="12">
        <v>3</v>
      </c>
      <c r="F66" s="8">
        <v>1.32</v>
      </c>
      <c r="G66" s="12">
        <v>4</v>
      </c>
      <c r="H66" s="8">
        <v>1.54</v>
      </c>
      <c r="I66" s="12">
        <v>0</v>
      </c>
    </row>
    <row r="67" spans="2:9" ht="15" customHeight="1" x14ac:dyDescent="0.2">
      <c r="B67" t="s">
        <v>231</v>
      </c>
      <c r="C67" s="12">
        <v>7</v>
      </c>
      <c r="D67" s="8">
        <v>1.43</v>
      </c>
      <c r="E67" s="12">
        <v>5</v>
      </c>
      <c r="F67" s="8">
        <v>2.19</v>
      </c>
      <c r="G67" s="12">
        <v>2</v>
      </c>
      <c r="H67" s="8">
        <v>0.77</v>
      </c>
      <c r="I67" s="12">
        <v>0</v>
      </c>
    </row>
    <row r="68" spans="2:9" ht="15" customHeight="1" x14ac:dyDescent="0.2">
      <c r="B68" t="s">
        <v>206</v>
      </c>
      <c r="C68" s="12">
        <v>7</v>
      </c>
      <c r="D68" s="8">
        <v>1.43</v>
      </c>
      <c r="E68" s="12">
        <v>6</v>
      </c>
      <c r="F68" s="8">
        <v>2.63</v>
      </c>
      <c r="G68" s="12">
        <v>1</v>
      </c>
      <c r="H68" s="8">
        <v>0.38</v>
      </c>
      <c r="I68" s="12">
        <v>0</v>
      </c>
    </row>
    <row r="69" spans="2:9" ht="15" customHeight="1" x14ac:dyDescent="0.2">
      <c r="B69" t="s">
        <v>216</v>
      </c>
      <c r="C69" s="12">
        <v>6</v>
      </c>
      <c r="D69" s="8">
        <v>1.22</v>
      </c>
      <c r="E69" s="12">
        <v>4</v>
      </c>
      <c r="F69" s="8">
        <v>1.75</v>
      </c>
      <c r="G69" s="12">
        <v>2</v>
      </c>
      <c r="H69" s="8">
        <v>0.77</v>
      </c>
      <c r="I69" s="12">
        <v>0</v>
      </c>
    </row>
    <row r="70" spans="2:9" ht="15" customHeight="1" x14ac:dyDescent="0.2">
      <c r="B70" t="s">
        <v>180</v>
      </c>
      <c r="C70" s="12">
        <v>6</v>
      </c>
      <c r="D70" s="8">
        <v>1.22</v>
      </c>
      <c r="E70" s="12">
        <v>3</v>
      </c>
      <c r="F70" s="8">
        <v>1.32</v>
      </c>
      <c r="G70" s="12">
        <v>3</v>
      </c>
      <c r="H70" s="8">
        <v>1.1499999999999999</v>
      </c>
      <c r="I70" s="12">
        <v>0</v>
      </c>
    </row>
    <row r="71" spans="2:9" ht="15" customHeight="1" x14ac:dyDescent="0.2">
      <c r="B71" t="s">
        <v>229</v>
      </c>
      <c r="C71" s="12">
        <v>6</v>
      </c>
      <c r="D71" s="8">
        <v>1.22</v>
      </c>
      <c r="E71" s="12">
        <v>2</v>
      </c>
      <c r="F71" s="8">
        <v>0.88</v>
      </c>
      <c r="G71" s="12">
        <v>4</v>
      </c>
      <c r="H71" s="8">
        <v>1.54</v>
      </c>
      <c r="I71" s="12">
        <v>0</v>
      </c>
    </row>
    <row r="72" spans="2:9" ht="15" customHeight="1" x14ac:dyDescent="0.2">
      <c r="B72" t="s">
        <v>214</v>
      </c>
      <c r="C72" s="12">
        <v>6</v>
      </c>
      <c r="D72" s="8">
        <v>1.22</v>
      </c>
      <c r="E72" s="12">
        <v>1</v>
      </c>
      <c r="F72" s="8">
        <v>0.44</v>
      </c>
      <c r="G72" s="12">
        <v>5</v>
      </c>
      <c r="H72" s="8">
        <v>1.92</v>
      </c>
      <c r="I72" s="12">
        <v>0</v>
      </c>
    </row>
    <row r="73" spans="2:9" ht="15" customHeight="1" x14ac:dyDescent="0.2">
      <c r="B73" t="s">
        <v>178</v>
      </c>
      <c r="C73" s="12">
        <v>6</v>
      </c>
      <c r="D73" s="8">
        <v>1.22</v>
      </c>
      <c r="E73" s="12">
        <v>1</v>
      </c>
      <c r="F73" s="8">
        <v>0.44</v>
      </c>
      <c r="G73" s="12">
        <v>5</v>
      </c>
      <c r="H73" s="8">
        <v>1.92</v>
      </c>
      <c r="I73" s="12">
        <v>0</v>
      </c>
    </row>
    <row r="74" spans="2:9" ht="15" customHeight="1" x14ac:dyDescent="0.2">
      <c r="B74" t="s">
        <v>169</v>
      </c>
      <c r="C74" s="12">
        <v>6</v>
      </c>
      <c r="D74" s="8">
        <v>1.22</v>
      </c>
      <c r="E74" s="12">
        <v>5</v>
      </c>
      <c r="F74" s="8">
        <v>2.19</v>
      </c>
      <c r="G74" s="12">
        <v>1</v>
      </c>
      <c r="H74" s="8">
        <v>0.38</v>
      </c>
      <c r="I74" s="12">
        <v>0</v>
      </c>
    </row>
    <row r="76" spans="2:9" ht="15" customHeight="1" x14ac:dyDescent="0.2">
      <c r="B76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91C6F-0D08-4D77-BADB-668F2599BF3E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331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117</v>
      </c>
      <c r="D6" s="8">
        <v>29.55</v>
      </c>
      <c r="E6" s="12">
        <v>58</v>
      </c>
      <c r="F6" s="8">
        <v>28.57</v>
      </c>
      <c r="G6" s="12">
        <v>59</v>
      </c>
      <c r="H6" s="8">
        <v>31.22</v>
      </c>
      <c r="I6" s="12">
        <v>0</v>
      </c>
    </row>
    <row r="7" spans="2:9" ht="15" customHeight="1" x14ac:dyDescent="0.2">
      <c r="B7" t="s">
        <v>76</v>
      </c>
      <c r="C7" s="12">
        <v>57</v>
      </c>
      <c r="D7" s="8">
        <v>14.39</v>
      </c>
      <c r="E7" s="12">
        <v>17</v>
      </c>
      <c r="F7" s="8">
        <v>8.3699999999999992</v>
      </c>
      <c r="G7" s="12">
        <v>40</v>
      </c>
      <c r="H7" s="8">
        <v>21.16</v>
      </c>
      <c r="I7" s="12">
        <v>0</v>
      </c>
    </row>
    <row r="8" spans="2:9" ht="15" customHeight="1" x14ac:dyDescent="0.2">
      <c r="B8" t="s">
        <v>77</v>
      </c>
      <c r="C8" s="12">
        <v>2</v>
      </c>
      <c r="D8" s="8">
        <v>0.51</v>
      </c>
      <c r="E8" s="12">
        <v>0</v>
      </c>
      <c r="F8" s="8">
        <v>0</v>
      </c>
      <c r="G8" s="12">
        <v>2</v>
      </c>
      <c r="H8" s="8">
        <v>1.06</v>
      </c>
      <c r="I8" s="12">
        <v>0</v>
      </c>
    </row>
    <row r="9" spans="2:9" ht="15" customHeight="1" x14ac:dyDescent="0.2">
      <c r="B9" t="s">
        <v>78</v>
      </c>
      <c r="C9" s="12">
        <v>3</v>
      </c>
      <c r="D9" s="8">
        <v>0.76</v>
      </c>
      <c r="E9" s="12">
        <v>2</v>
      </c>
      <c r="F9" s="8">
        <v>0.99</v>
      </c>
      <c r="G9" s="12">
        <v>1</v>
      </c>
      <c r="H9" s="8">
        <v>0.53</v>
      </c>
      <c r="I9" s="12">
        <v>0</v>
      </c>
    </row>
    <row r="10" spans="2:9" ht="15" customHeight="1" x14ac:dyDescent="0.2">
      <c r="B10" t="s">
        <v>79</v>
      </c>
      <c r="C10" s="12">
        <v>3</v>
      </c>
      <c r="D10" s="8">
        <v>0.76</v>
      </c>
      <c r="E10" s="12">
        <v>0</v>
      </c>
      <c r="F10" s="8">
        <v>0</v>
      </c>
      <c r="G10" s="12">
        <v>3</v>
      </c>
      <c r="H10" s="8">
        <v>1.59</v>
      </c>
      <c r="I10" s="12">
        <v>0</v>
      </c>
    </row>
    <row r="11" spans="2:9" ht="15" customHeight="1" x14ac:dyDescent="0.2">
      <c r="B11" t="s">
        <v>80</v>
      </c>
      <c r="C11" s="12">
        <v>76</v>
      </c>
      <c r="D11" s="8">
        <v>19.190000000000001</v>
      </c>
      <c r="E11" s="12">
        <v>37</v>
      </c>
      <c r="F11" s="8">
        <v>18.23</v>
      </c>
      <c r="G11" s="12">
        <v>39</v>
      </c>
      <c r="H11" s="8">
        <v>20.63</v>
      </c>
      <c r="I11" s="12">
        <v>0</v>
      </c>
    </row>
    <row r="12" spans="2:9" ht="15" customHeight="1" x14ac:dyDescent="0.2">
      <c r="B12" t="s">
        <v>81</v>
      </c>
      <c r="C12" s="12">
        <v>2</v>
      </c>
      <c r="D12" s="8">
        <v>0.51</v>
      </c>
      <c r="E12" s="12">
        <v>0</v>
      </c>
      <c r="F12" s="8">
        <v>0</v>
      </c>
      <c r="G12" s="12">
        <v>2</v>
      </c>
      <c r="H12" s="8">
        <v>1.06</v>
      </c>
      <c r="I12" s="12">
        <v>0</v>
      </c>
    </row>
    <row r="13" spans="2:9" ht="15" customHeight="1" x14ac:dyDescent="0.2">
      <c r="B13" t="s">
        <v>82</v>
      </c>
      <c r="C13" s="12">
        <v>12</v>
      </c>
      <c r="D13" s="8">
        <v>3.03</v>
      </c>
      <c r="E13" s="12">
        <v>0</v>
      </c>
      <c r="F13" s="8">
        <v>0</v>
      </c>
      <c r="G13" s="12">
        <v>12</v>
      </c>
      <c r="H13" s="8">
        <v>6.35</v>
      </c>
      <c r="I13" s="12">
        <v>0</v>
      </c>
    </row>
    <row r="14" spans="2:9" ht="15" customHeight="1" x14ac:dyDescent="0.2">
      <c r="B14" t="s">
        <v>83</v>
      </c>
      <c r="C14" s="12">
        <v>12</v>
      </c>
      <c r="D14" s="8">
        <v>3.03</v>
      </c>
      <c r="E14" s="12">
        <v>7</v>
      </c>
      <c r="F14" s="8">
        <v>3.45</v>
      </c>
      <c r="G14" s="12">
        <v>5</v>
      </c>
      <c r="H14" s="8">
        <v>2.65</v>
      </c>
      <c r="I14" s="12">
        <v>0</v>
      </c>
    </row>
    <row r="15" spans="2:9" ht="15" customHeight="1" x14ac:dyDescent="0.2">
      <c r="B15" t="s">
        <v>84</v>
      </c>
      <c r="C15" s="12">
        <v>36</v>
      </c>
      <c r="D15" s="8">
        <v>9.09</v>
      </c>
      <c r="E15" s="12">
        <v>32</v>
      </c>
      <c r="F15" s="8">
        <v>15.76</v>
      </c>
      <c r="G15" s="12">
        <v>4</v>
      </c>
      <c r="H15" s="8">
        <v>2.12</v>
      </c>
      <c r="I15" s="12">
        <v>0</v>
      </c>
    </row>
    <row r="16" spans="2:9" ht="15" customHeight="1" x14ac:dyDescent="0.2">
      <c r="B16" t="s">
        <v>85</v>
      </c>
      <c r="C16" s="12">
        <v>33</v>
      </c>
      <c r="D16" s="8">
        <v>8.33</v>
      </c>
      <c r="E16" s="12">
        <v>28</v>
      </c>
      <c r="F16" s="8">
        <v>13.79</v>
      </c>
      <c r="G16" s="12">
        <v>4</v>
      </c>
      <c r="H16" s="8">
        <v>2.12</v>
      </c>
      <c r="I16" s="12">
        <v>0</v>
      </c>
    </row>
    <row r="17" spans="2:9" ht="15" customHeight="1" x14ac:dyDescent="0.2">
      <c r="B17" t="s">
        <v>86</v>
      </c>
      <c r="C17" s="12">
        <v>7</v>
      </c>
      <c r="D17" s="8">
        <v>1.77</v>
      </c>
      <c r="E17" s="12">
        <v>6</v>
      </c>
      <c r="F17" s="8">
        <v>2.96</v>
      </c>
      <c r="G17" s="12">
        <v>0</v>
      </c>
      <c r="H17" s="8">
        <v>0</v>
      </c>
      <c r="I17" s="12">
        <v>1</v>
      </c>
    </row>
    <row r="18" spans="2:9" ht="15" customHeight="1" x14ac:dyDescent="0.2">
      <c r="B18" t="s">
        <v>87</v>
      </c>
      <c r="C18" s="12">
        <v>12</v>
      </c>
      <c r="D18" s="8">
        <v>3.03</v>
      </c>
      <c r="E18" s="12">
        <v>6</v>
      </c>
      <c r="F18" s="8">
        <v>2.96</v>
      </c>
      <c r="G18" s="12">
        <v>5</v>
      </c>
      <c r="H18" s="8">
        <v>2.65</v>
      </c>
      <c r="I18" s="12">
        <v>0</v>
      </c>
    </row>
    <row r="19" spans="2:9" ht="15" customHeight="1" x14ac:dyDescent="0.2">
      <c r="B19" t="s">
        <v>88</v>
      </c>
      <c r="C19" s="12">
        <v>24</v>
      </c>
      <c r="D19" s="8">
        <v>6.06</v>
      </c>
      <c r="E19" s="12">
        <v>10</v>
      </c>
      <c r="F19" s="8">
        <v>4.93</v>
      </c>
      <c r="G19" s="12">
        <v>13</v>
      </c>
      <c r="H19" s="8">
        <v>6.88</v>
      </c>
      <c r="I19" s="12">
        <v>0</v>
      </c>
    </row>
    <row r="20" spans="2:9" ht="15" customHeight="1" x14ac:dyDescent="0.2">
      <c r="B20" s="9" t="s">
        <v>269</v>
      </c>
      <c r="C20" s="12">
        <f>SUM(LTBL_11347[総数／事業所数])</f>
        <v>396</v>
      </c>
      <c r="E20" s="12">
        <f>SUBTOTAL(109,LTBL_11347[個人／事業所数])</f>
        <v>203</v>
      </c>
      <c r="G20" s="12">
        <f>SUBTOTAL(109,LTBL_11347[法人／事業所数])</f>
        <v>189</v>
      </c>
      <c r="I20" s="12">
        <f>SUBTOTAL(109,LTBL_11347[法人以外の団体／事業所数])</f>
        <v>1</v>
      </c>
    </row>
    <row r="21" spans="2:9" ht="15" customHeight="1" x14ac:dyDescent="0.2">
      <c r="E21" s="11">
        <f>LTBL_11347[[#Totals],[個人／事業所数]]/LTBL_11347[[#Totals],[総数／事業所数]]</f>
        <v>0.51262626262626265</v>
      </c>
      <c r="G21" s="11">
        <f>LTBL_11347[[#Totals],[法人／事業所数]]/LTBL_11347[[#Totals],[総数／事業所数]]</f>
        <v>0.47727272727272729</v>
      </c>
      <c r="I21" s="11">
        <f>LTBL_11347[[#Totals],[法人以外の団体／事業所数]]/LTBL_11347[[#Totals],[総数／事業所数]]</f>
        <v>2.5252525252525255E-3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97</v>
      </c>
      <c r="C24" s="12">
        <v>50</v>
      </c>
      <c r="D24" s="8">
        <v>12.63</v>
      </c>
      <c r="E24" s="12">
        <v>22</v>
      </c>
      <c r="F24" s="8">
        <v>10.84</v>
      </c>
      <c r="G24" s="12">
        <v>28</v>
      </c>
      <c r="H24" s="8">
        <v>14.81</v>
      </c>
      <c r="I24" s="12">
        <v>0</v>
      </c>
    </row>
    <row r="25" spans="2:9" ht="15" customHeight="1" x14ac:dyDescent="0.2">
      <c r="B25" t="s">
        <v>98</v>
      </c>
      <c r="C25" s="12">
        <v>43</v>
      </c>
      <c r="D25" s="8">
        <v>10.86</v>
      </c>
      <c r="E25" s="12">
        <v>26</v>
      </c>
      <c r="F25" s="8">
        <v>12.81</v>
      </c>
      <c r="G25" s="12">
        <v>17</v>
      </c>
      <c r="H25" s="8">
        <v>8.99</v>
      </c>
      <c r="I25" s="12">
        <v>0</v>
      </c>
    </row>
    <row r="26" spans="2:9" ht="15" customHeight="1" x14ac:dyDescent="0.2">
      <c r="B26" t="s">
        <v>111</v>
      </c>
      <c r="C26" s="12">
        <v>33</v>
      </c>
      <c r="D26" s="8">
        <v>8.33</v>
      </c>
      <c r="E26" s="12">
        <v>29</v>
      </c>
      <c r="F26" s="8">
        <v>14.29</v>
      </c>
      <c r="G26" s="12">
        <v>4</v>
      </c>
      <c r="H26" s="8">
        <v>2.12</v>
      </c>
      <c r="I26" s="12">
        <v>0</v>
      </c>
    </row>
    <row r="27" spans="2:9" ht="15" customHeight="1" x14ac:dyDescent="0.2">
      <c r="B27" t="s">
        <v>112</v>
      </c>
      <c r="C27" s="12">
        <v>27</v>
      </c>
      <c r="D27" s="8">
        <v>6.82</v>
      </c>
      <c r="E27" s="12">
        <v>27</v>
      </c>
      <c r="F27" s="8">
        <v>13.3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99</v>
      </c>
      <c r="C28" s="12">
        <v>24</v>
      </c>
      <c r="D28" s="8">
        <v>6.06</v>
      </c>
      <c r="E28" s="12">
        <v>10</v>
      </c>
      <c r="F28" s="8">
        <v>4.93</v>
      </c>
      <c r="G28" s="12">
        <v>14</v>
      </c>
      <c r="H28" s="8">
        <v>7.41</v>
      </c>
      <c r="I28" s="12">
        <v>0</v>
      </c>
    </row>
    <row r="29" spans="2:9" ht="15" customHeight="1" x14ac:dyDescent="0.2">
      <c r="B29" t="s">
        <v>106</v>
      </c>
      <c r="C29" s="12">
        <v>22</v>
      </c>
      <c r="D29" s="8">
        <v>5.56</v>
      </c>
      <c r="E29" s="12">
        <v>10</v>
      </c>
      <c r="F29" s="8">
        <v>4.93</v>
      </c>
      <c r="G29" s="12">
        <v>12</v>
      </c>
      <c r="H29" s="8">
        <v>6.35</v>
      </c>
      <c r="I29" s="12">
        <v>0</v>
      </c>
    </row>
    <row r="30" spans="2:9" ht="15" customHeight="1" x14ac:dyDescent="0.2">
      <c r="B30" t="s">
        <v>105</v>
      </c>
      <c r="C30" s="12">
        <v>16</v>
      </c>
      <c r="D30" s="8">
        <v>4.04</v>
      </c>
      <c r="E30" s="12">
        <v>12</v>
      </c>
      <c r="F30" s="8">
        <v>5.91</v>
      </c>
      <c r="G30" s="12">
        <v>4</v>
      </c>
      <c r="H30" s="8">
        <v>2.12</v>
      </c>
      <c r="I30" s="12">
        <v>0</v>
      </c>
    </row>
    <row r="31" spans="2:9" ht="15" customHeight="1" x14ac:dyDescent="0.2">
      <c r="B31" t="s">
        <v>104</v>
      </c>
      <c r="C31" s="12">
        <v>14</v>
      </c>
      <c r="D31" s="8">
        <v>3.54</v>
      </c>
      <c r="E31" s="12">
        <v>10</v>
      </c>
      <c r="F31" s="8">
        <v>4.93</v>
      </c>
      <c r="G31" s="12">
        <v>4</v>
      </c>
      <c r="H31" s="8">
        <v>2.12</v>
      </c>
      <c r="I31" s="12">
        <v>0</v>
      </c>
    </row>
    <row r="32" spans="2:9" ht="15" customHeight="1" x14ac:dyDescent="0.2">
      <c r="B32" t="s">
        <v>116</v>
      </c>
      <c r="C32" s="12">
        <v>14</v>
      </c>
      <c r="D32" s="8">
        <v>3.54</v>
      </c>
      <c r="E32" s="12">
        <v>10</v>
      </c>
      <c r="F32" s="8">
        <v>4.93</v>
      </c>
      <c r="G32" s="12">
        <v>4</v>
      </c>
      <c r="H32" s="8">
        <v>2.12</v>
      </c>
      <c r="I32" s="12">
        <v>0</v>
      </c>
    </row>
    <row r="33" spans="2:9" ht="15" customHeight="1" x14ac:dyDescent="0.2">
      <c r="B33" t="s">
        <v>108</v>
      </c>
      <c r="C33" s="12">
        <v>10</v>
      </c>
      <c r="D33" s="8">
        <v>2.5299999999999998</v>
      </c>
      <c r="E33" s="12">
        <v>0</v>
      </c>
      <c r="F33" s="8">
        <v>0</v>
      </c>
      <c r="G33" s="12">
        <v>10</v>
      </c>
      <c r="H33" s="8">
        <v>5.29</v>
      </c>
      <c r="I33" s="12">
        <v>0</v>
      </c>
    </row>
    <row r="34" spans="2:9" ht="15" customHeight="1" x14ac:dyDescent="0.2">
      <c r="B34" t="s">
        <v>100</v>
      </c>
      <c r="C34" s="12">
        <v>9</v>
      </c>
      <c r="D34" s="8">
        <v>2.27</v>
      </c>
      <c r="E34" s="12">
        <v>1</v>
      </c>
      <c r="F34" s="8">
        <v>0.49</v>
      </c>
      <c r="G34" s="12">
        <v>8</v>
      </c>
      <c r="H34" s="8">
        <v>4.2300000000000004</v>
      </c>
      <c r="I34" s="12">
        <v>0</v>
      </c>
    </row>
    <row r="35" spans="2:9" ht="15" customHeight="1" x14ac:dyDescent="0.2">
      <c r="B35" t="s">
        <v>135</v>
      </c>
      <c r="C35" s="12">
        <v>9</v>
      </c>
      <c r="D35" s="8">
        <v>2.27</v>
      </c>
      <c r="E35" s="12">
        <v>3</v>
      </c>
      <c r="F35" s="8">
        <v>1.48</v>
      </c>
      <c r="G35" s="12">
        <v>6</v>
      </c>
      <c r="H35" s="8">
        <v>3.17</v>
      </c>
      <c r="I35" s="12">
        <v>0</v>
      </c>
    </row>
    <row r="36" spans="2:9" ht="15" customHeight="1" x14ac:dyDescent="0.2">
      <c r="B36" t="s">
        <v>101</v>
      </c>
      <c r="C36" s="12">
        <v>7</v>
      </c>
      <c r="D36" s="8">
        <v>1.77</v>
      </c>
      <c r="E36" s="12">
        <v>2</v>
      </c>
      <c r="F36" s="8">
        <v>0.99</v>
      </c>
      <c r="G36" s="12">
        <v>5</v>
      </c>
      <c r="H36" s="8">
        <v>2.65</v>
      </c>
      <c r="I36" s="12">
        <v>0</v>
      </c>
    </row>
    <row r="37" spans="2:9" ht="15" customHeight="1" x14ac:dyDescent="0.2">
      <c r="B37" t="s">
        <v>117</v>
      </c>
      <c r="C37" s="12">
        <v>7</v>
      </c>
      <c r="D37" s="8">
        <v>1.77</v>
      </c>
      <c r="E37" s="12">
        <v>0</v>
      </c>
      <c r="F37" s="8">
        <v>0</v>
      </c>
      <c r="G37" s="12">
        <v>7</v>
      </c>
      <c r="H37" s="8">
        <v>3.7</v>
      </c>
      <c r="I37" s="12">
        <v>0</v>
      </c>
    </row>
    <row r="38" spans="2:9" ht="15" customHeight="1" x14ac:dyDescent="0.2">
      <c r="B38" t="s">
        <v>109</v>
      </c>
      <c r="C38" s="12">
        <v>7</v>
      </c>
      <c r="D38" s="8">
        <v>1.77</v>
      </c>
      <c r="E38" s="12">
        <v>6</v>
      </c>
      <c r="F38" s="8">
        <v>2.96</v>
      </c>
      <c r="G38" s="12">
        <v>1</v>
      </c>
      <c r="H38" s="8">
        <v>0.53</v>
      </c>
      <c r="I38" s="12">
        <v>0</v>
      </c>
    </row>
    <row r="39" spans="2:9" ht="15" customHeight="1" x14ac:dyDescent="0.2">
      <c r="B39" t="s">
        <v>114</v>
      </c>
      <c r="C39" s="12">
        <v>7</v>
      </c>
      <c r="D39" s="8">
        <v>1.77</v>
      </c>
      <c r="E39" s="12">
        <v>6</v>
      </c>
      <c r="F39" s="8">
        <v>2.96</v>
      </c>
      <c r="G39" s="12">
        <v>0</v>
      </c>
      <c r="H39" s="8">
        <v>0</v>
      </c>
      <c r="I39" s="12">
        <v>1</v>
      </c>
    </row>
    <row r="40" spans="2:9" ht="15" customHeight="1" x14ac:dyDescent="0.2">
      <c r="B40" t="s">
        <v>115</v>
      </c>
      <c r="C40" s="12">
        <v>7</v>
      </c>
      <c r="D40" s="8">
        <v>1.77</v>
      </c>
      <c r="E40" s="12">
        <v>6</v>
      </c>
      <c r="F40" s="8">
        <v>2.96</v>
      </c>
      <c r="G40" s="12">
        <v>1</v>
      </c>
      <c r="H40" s="8">
        <v>0.53</v>
      </c>
      <c r="I40" s="12">
        <v>0</v>
      </c>
    </row>
    <row r="41" spans="2:9" ht="15" customHeight="1" x14ac:dyDescent="0.2">
      <c r="B41" t="s">
        <v>119</v>
      </c>
      <c r="C41" s="12">
        <v>7</v>
      </c>
      <c r="D41" s="8">
        <v>1.77</v>
      </c>
      <c r="E41" s="12">
        <v>0</v>
      </c>
      <c r="F41" s="8">
        <v>0</v>
      </c>
      <c r="G41" s="12">
        <v>7</v>
      </c>
      <c r="H41" s="8">
        <v>3.7</v>
      </c>
      <c r="I41" s="12">
        <v>0</v>
      </c>
    </row>
    <row r="42" spans="2:9" ht="15" customHeight="1" x14ac:dyDescent="0.2">
      <c r="B42" t="s">
        <v>138</v>
      </c>
      <c r="C42" s="12">
        <v>6</v>
      </c>
      <c r="D42" s="8">
        <v>1.52</v>
      </c>
      <c r="E42" s="12">
        <v>2</v>
      </c>
      <c r="F42" s="8">
        <v>0.99</v>
      </c>
      <c r="G42" s="12">
        <v>4</v>
      </c>
      <c r="H42" s="8">
        <v>2.12</v>
      </c>
      <c r="I42" s="12">
        <v>0</v>
      </c>
    </row>
    <row r="43" spans="2:9" ht="15" customHeight="1" x14ac:dyDescent="0.2">
      <c r="B43" t="s">
        <v>126</v>
      </c>
      <c r="C43" s="12">
        <v>5</v>
      </c>
      <c r="D43" s="8">
        <v>1.26</v>
      </c>
      <c r="E43" s="12">
        <v>1</v>
      </c>
      <c r="F43" s="8">
        <v>0.49</v>
      </c>
      <c r="G43" s="12">
        <v>4</v>
      </c>
      <c r="H43" s="8">
        <v>2.12</v>
      </c>
      <c r="I43" s="12">
        <v>0</v>
      </c>
    </row>
    <row r="44" spans="2:9" ht="15" customHeight="1" x14ac:dyDescent="0.2">
      <c r="B44" t="s">
        <v>118</v>
      </c>
      <c r="C44" s="12">
        <v>5</v>
      </c>
      <c r="D44" s="8">
        <v>1.26</v>
      </c>
      <c r="E44" s="12">
        <v>0</v>
      </c>
      <c r="F44" s="8">
        <v>0</v>
      </c>
      <c r="G44" s="12">
        <v>4</v>
      </c>
      <c r="H44" s="8">
        <v>2.12</v>
      </c>
      <c r="I44" s="12">
        <v>0</v>
      </c>
    </row>
    <row r="47" spans="2:9" ht="33" customHeight="1" x14ac:dyDescent="0.2">
      <c r="B47" t="s">
        <v>271</v>
      </c>
      <c r="C47" s="10" t="s">
        <v>90</v>
      </c>
      <c r="D47" s="10" t="s">
        <v>91</v>
      </c>
      <c r="E47" s="10" t="s">
        <v>92</v>
      </c>
      <c r="F47" s="10" t="s">
        <v>93</v>
      </c>
      <c r="G47" s="10" t="s">
        <v>94</v>
      </c>
      <c r="H47" s="10" t="s">
        <v>95</v>
      </c>
      <c r="I47" s="10" t="s">
        <v>96</v>
      </c>
    </row>
    <row r="48" spans="2:9" ht="15" customHeight="1" x14ac:dyDescent="0.2">
      <c r="B48" t="s">
        <v>159</v>
      </c>
      <c r="C48" s="12">
        <v>22</v>
      </c>
      <c r="D48" s="8">
        <v>5.56</v>
      </c>
      <c r="E48" s="12">
        <v>17</v>
      </c>
      <c r="F48" s="8">
        <v>8.3699999999999992</v>
      </c>
      <c r="G48" s="12">
        <v>5</v>
      </c>
      <c r="H48" s="8">
        <v>2.65</v>
      </c>
      <c r="I48" s="12">
        <v>0</v>
      </c>
    </row>
    <row r="49" spans="2:9" ht="15" customHeight="1" x14ac:dyDescent="0.2">
      <c r="B49" t="s">
        <v>182</v>
      </c>
      <c r="C49" s="12">
        <v>15</v>
      </c>
      <c r="D49" s="8">
        <v>3.79</v>
      </c>
      <c r="E49" s="12">
        <v>7</v>
      </c>
      <c r="F49" s="8">
        <v>3.45</v>
      </c>
      <c r="G49" s="12">
        <v>8</v>
      </c>
      <c r="H49" s="8">
        <v>4.2300000000000004</v>
      </c>
      <c r="I49" s="12">
        <v>0</v>
      </c>
    </row>
    <row r="50" spans="2:9" ht="15" customHeight="1" x14ac:dyDescent="0.2">
      <c r="B50" t="s">
        <v>157</v>
      </c>
      <c r="C50" s="12">
        <v>14</v>
      </c>
      <c r="D50" s="8">
        <v>3.54</v>
      </c>
      <c r="E50" s="12">
        <v>2</v>
      </c>
      <c r="F50" s="8">
        <v>0.99</v>
      </c>
      <c r="G50" s="12">
        <v>12</v>
      </c>
      <c r="H50" s="8">
        <v>6.35</v>
      </c>
      <c r="I50" s="12">
        <v>0</v>
      </c>
    </row>
    <row r="51" spans="2:9" ht="15" customHeight="1" x14ac:dyDescent="0.2">
      <c r="B51" t="s">
        <v>160</v>
      </c>
      <c r="C51" s="12">
        <v>14</v>
      </c>
      <c r="D51" s="8">
        <v>3.54</v>
      </c>
      <c r="E51" s="12">
        <v>9</v>
      </c>
      <c r="F51" s="8">
        <v>4.43</v>
      </c>
      <c r="G51" s="12">
        <v>5</v>
      </c>
      <c r="H51" s="8">
        <v>2.65</v>
      </c>
      <c r="I51" s="12">
        <v>0</v>
      </c>
    </row>
    <row r="52" spans="2:9" ht="15" customHeight="1" x14ac:dyDescent="0.2">
      <c r="B52" t="s">
        <v>163</v>
      </c>
      <c r="C52" s="12">
        <v>14</v>
      </c>
      <c r="D52" s="8">
        <v>3.54</v>
      </c>
      <c r="E52" s="12">
        <v>11</v>
      </c>
      <c r="F52" s="8">
        <v>5.42</v>
      </c>
      <c r="G52" s="12">
        <v>3</v>
      </c>
      <c r="H52" s="8">
        <v>1.59</v>
      </c>
      <c r="I52" s="12">
        <v>0</v>
      </c>
    </row>
    <row r="53" spans="2:9" ht="15" customHeight="1" x14ac:dyDescent="0.2">
      <c r="B53" t="s">
        <v>176</v>
      </c>
      <c r="C53" s="12">
        <v>14</v>
      </c>
      <c r="D53" s="8">
        <v>3.54</v>
      </c>
      <c r="E53" s="12">
        <v>10</v>
      </c>
      <c r="F53" s="8">
        <v>4.93</v>
      </c>
      <c r="G53" s="12">
        <v>4</v>
      </c>
      <c r="H53" s="8">
        <v>2.12</v>
      </c>
      <c r="I53" s="12">
        <v>0</v>
      </c>
    </row>
    <row r="54" spans="2:9" ht="15" customHeight="1" x14ac:dyDescent="0.2">
      <c r="B54" t="s">
        <v>173</v>
      </c>
      <c r="C54" s="12">
        <v>13</v>
      </c>
      <c r="D54" s="8">
        <v>3.28</v>
      </c>
      <c r="E54" s="12">
        <v>13</v>
      </c>
      <c r="F54" s="8">
        <v>6.4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158</v>
      </c>
      <c r="C55" s="12">
        <v>12</v>
      </c>
      <c r="D55" s="8">
        <v>3.03</v>
      </c>
      <c r="E55" s="12">
        <v>3</v>
      </c>
      <c r="F55" s="8">
        <v>1.48</v>
      </c>
      <c r="G55" s="12">
        <v>9</v>
      </c>
      <c r="H55" s="8">
        <v>4.76</v>
      </c>
      <c r="I55" s="12">
        <v>0</v>
      </c>
    </row>
    <row r="56" spans="2:9" ht="15" customHeight="1" x14ac:dyDescent="0.2">
      <c r="B56" t="s">
        <v>170</v>
      </c>
      <c r="C56" s="12">
        <v>11</v>
      </c>
      <c r="D56" s="8">
        <v>2.78</v>
      </c>
      <c r="E56" s="12">
        <v>11</v>
      </c>
      <c r="F56" s="8">
        <v>5.42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172</v>
      </c>
      <c r="C57" s="12">
        <v>11</v>
      </c>
      <c r="D57" s="8">
        <v>2.78</v>
      </c>
      <c r="E57" s="12">
        <v>11</v>
      </c>
      <c r="F57" s="8">
        <v>5.42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161</v>
      </c>
      <c r="C58" s="12">
        <v>9</v>
      </c>
      <c r="D58" s="8">
        <v>2.27</v>
      </c>
      <c r="E58" s="12">
        <v>1</v>
      </c>
      <c r="F58" s="8">
        <v>0.49</v>
      </c>
      <c r="G58" s="12">
        <v>8</v>
      </c>
      <c r="H58" s="8">
        <v>4.2300000000000004</v>
      </c>
      <c r="I58" s="12">
        <v>0</v>
      </c>
    </row>
    <row r="59" spans="2:9" ht="15" customHeight="1" x14ac:dyDescent="0.2">
      <c r="B59" t="s">
        <v>220</v>
      </c>
      <c r="C59" s="12">
        <v>9</v>
      </c>
      <c r="D59" s="8">
        <v>2.27</v>
      </c>
      <c r="E59" s="12">
        <v>3</v>
      </c>
      <c r="F59" s="8">
        <v>1.48</v>
      </c>
      <c r="G59" s="12">
        <v>6</v>
      </c>
      <c r="H59" s="8">
        <v>3.17</v>
      </c>
      <c r="I59" s="12">
        <v>0</v>
      </c>
    </row>
    <row r="60" spans="2:9" ht="15" customHeight="1" x14ac:dyDescent="0.2">
      <c r="B60" t="s">
        <v>169</v>
      </c>
      <c r="C60" s="12">
        <v>9</v>
      </c>
      <c r="D60" s="8">
        <v>2.27</v>
      </c>
      <c r="E60" s="12">
        <v>8</v>
      </c>
      <c r="F60" s="8">
        <v>3.94</v>
      </c>
      <c r="G60" s="12">
        <v>1</v>
      </c>
      <c r="H60" s="8">
        <v>0.53</v>
      </c>
      <c r="I60" s="12">
        <v>0</v>
      </c>
    </row>
    <row r="61" spans="2:9" ht="15" customHeight="1" x14ac:dyDescent="0.2">
      <c r="B61" t="s">
        <v>164</v>
      </c>
      <c r="C61" s="12">
        <v>7</v>
      </c>
      <c r="D61" s="8">
        <v>1.77</v>
      </c>
      <c r="E61" s="12">
        <v>5</v>
      </c>
      <c r="F61" s="8">
        <v>2.46</v>
      </c>
      <c r="G61" s="12">
        <v>2</v>
      </c>
      <c r="H61" s="8">
        <v>1.06</v>
      </c>
      <c r="I61" s="12">
        <v>0</v>
      </c>
    </row>
    <row r="62" spans="2:9" ht="15" customHeight="1" x14ac:dyDescent="0.2">
      <c r="B62" t="s">
        <v>227</v>
      </c>
      <c r="C62" s="12">
        <v>6</v>
      </c>
      <c r="D62" s="8">
        <v>1.52</v>
      </c>
      <c r="E62" s="12">
        <v>5</v>
      </c>
      <c r="F62" s="8">
        <v>2.46</v>
      </c>
      <c r="G62" s="12">
        <v>1</v>
      </c>
      <c r="H62" s="8">
        <v>0.53</v>
      </c>
      <c r="I62" s="12">
        <v>0</v>
      </c>
    </row>
    <row r="63" spans="2:9" ht="15" customHeight="1" x14ac:dyDescent="0.2">
      <c r="B63" t="s">
        <v>232</v>
      </c>
      <c r="C63" s="12">
        <v>6</v>
      </c>
      <c r="D63" s="8">
        <v>1.52</v>
      </c>
      <c r="E63" s="12">
        <v>2</v>
      </c>
      <c r="F63" s="8">
        <v>0.99</v>
      </c>
      <c r="G63" s="12">
        <v>4</v>
      </c>
      <c r="H63" s="8">
        <v>2.12</v>
      </c>
      <c r="I63" s="12">
        <v>0</v>
      </c>
    </row>
    <row r="64" spans="2:9" ht="15" customHeight="1" x14ac:dyDescent="0.2">
      <c r="B64" t="s">
        <v>184</v>
      </c>
      <c r="C64" s="12">
        <v>6</v>
      </c>
      <c r="D64" s="8">
        <v>1.52</v>
      </c>
      <c r="E64" s="12">
        <v>0</v>
      </c>
      <c r="F64" s="8">
        <v>0</v>
      </c>
      <c r="G64" s="12">
        <v>6</v>
      </c>
      <c r="H64" s="8">
        <v>3.17</v>
      </c>
      <c r="I64" s="12">
        <v>0</v>
      </c>
    </row>
    <row r="65" spans="2:9" ht="15" customHeight="1" x14ac:dyDescent="0.2">
      <c r="B65" t="s">
        <v>224</v>
      </c>
      <c r="C65" s="12">
        <v>6</v>
      </c>
      <c r="D65" s="8">
        <v>1.52</v>
      </c>
      <c r="E65" s="12">
        <v>6</v>
      </c>
      <c r="F65" s="8">
        <v>2.96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207</v>
      </c>
      <c r="C66" s="12">
        <v>6</v>
      </c>
      <c r="D66" s="8">
        <v>1.52</v>
      </c>
      <c r="E66" s="12">
        <v>2</v>
      </c>
      <c r="F66" s="8">
        <v>0.99</v>
      </c>
      <c r="G66" s="12">
        <v>4</v>
      </c>
      <c r="H66" s="8">
        <v>2.12</v>
      </c>
      <c r="I66" s="12">
        <v>0</v>
      </c>
    </row>
    <row r="67" spans="2:9" ht="15" customHeight="1" x14ac:dyDescent="0.2">
      <c r="B67" t="s">
        <v>206</v>
      </c>
      <c r="C67" s="12">
        <v>6</v>
      </c>
      <c r="D67" s="8">
        <v>1.52</v>
      </c>
      <c r="E67" s="12">
        <v>4</v>
      </c>
      <c r="F67" s="8">
        <v>1.97</v>
      </c>
      <c r="G67" s="12">
        <v>2</v>
      </c>
      <c r="H67" s="8">
        <v>1.06</v>
      </c>
      <c r="I67" s="12">
        <v>0</v>
      </c>
    </row>
    <row r="68" spans="2:9" ht="15" customHeight="1" x14ac:dyDescent="0.2">
      <c r="B68" t="s">
        <v>174</v>
      </c>
      <c r="C68" s="12">
        <v>6</v>
      </c>
      <c r="D68" s="8">
        <v>1.52</v>
      </c>
      <c r="E68" s="12">
        <v>5</v>
      </c>
      <c r="F68" s="8">
        <v>2.46</v>
      </c>
      <c r="G68" s="12">
        <v>0</v>
      </c>
      <c r="H68" s="8">
        <v>0</v>
      </c>
      <c r="I68" s="12">
        <v>1</v>
      </c>
    </row>
    <row r="70" spans="2:9" ht="15" customHeight="1" x14ac:dyDescent="0.2">
      <c r="B70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EB549-0C6E-479F-B258-37AC3F864321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332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67</v>
      </c>
      <c r="D6" s="8">
        <v>24.91</v>
      </c>
      <c r="E6" s="12">
        <v>28</v>
      </c>
      <c r="F6" s="8">
        <v>20</v>
      </c>
      <c r="G6" s="12">
        <v>39</v>
      </c>
      <c r="H6" s="8">
        <v>30.71</v>
      </c>
      <c r="I6" s="12">
        <v>0</v>
      </c>
    </row>
    <row r="7" spans="2:9" ht="15" customHeight="1" x14ac:dyDescent="0.2">
      <c r="B7" t="s">
        <v>76</v>
      </c>
      <c r="C7" s="12">
        <v>37</v>
      </c>
      <c r="D7" s="8">
        <v>13.75</v>
      </c>
      <c r="E7" s="12">
        <v>15</v>
      </c>
      <c r="F7" s="8">
        <v>10.71</v>
      </c>
      <c r="G7" s="12">
        <v>22</v>
      </c>
      <c r="H7" s="8">
        <v>17.32</v>
      </c>
      <c r="I7" s="12">
        <v>0</v>
      </c>
    </row>
    <row r="8" spans="2:9" ht="15" customHeight="1" x14ac:dyDescent="0.2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78</v>
      </c>
      <c r="C9" s="12">
        <v>4</v>
      </c>
      <c r="D9" s="8">
        <v>1.49</v>
      </c>
      <c r="E9" s="12">
        <v>0</v>
      </c>
      <c r="F9" s="8">
        <v>0</v>
      </c>
      <c r="G9" s="12">
        <v>4</v>
      </c>
      <c r="H9" s="8">
        <v>3.15</v>
      </c>
      <c r="I9" s="12">
        <v>0</v>
      </c>
    </row>
    <row r="10" spans="2:9" ht="15" customHeight="1" x14ac:dyDescent="0.2">
      <c r="B10" t="s">
        <v>79</v>
      </c>
      <c r="C10" s="12">
        <v>3</v>
      </c>
      <c r="D10" s="8">
        <v>1.1200000000000001</v>
      </c>
      <c r="E10" s="12">
        <v>2</v>
      </c>
      <c r="F10" s="8">
        <v>1.43</v>
      </c>
      <c r="G10" s="12">
        <v>1</v>
      </c>
      <c r="H10" s="8">
        <v>0.79</v>
      </c>
      <c r="I10" s="12">
        <v>0</v>
      </c>
    </row>
    <row r="11" spans="2:9" ht="15" customHeight="1" x14ac:dyDescent="0.2">
      <c r="B11" t="s">
        <v>80</v>
      </c>
      <c r="C11" s="12">
        <v>47</v>
      </c>
      <c r="D11" s="8">
        <v>17.47</v>
      </c>
      <c r="E11" s="12">
        <v>19</v>
      </c>
      <c r="F11" s="8">
        <v>13.57</v>
      </c>
      <c r="G11" s="12">
        <v>28</v>
      </c>
      <c r="H11" s="8">
        <v>22.05</v>
      </c>
      <c r="I11" s="12">
        <v>0</v>
      </c>
    </row>
    <row r="12" spans="2:9" ht="15" customHeight="1" x14ac:dyDescent="0.2">
      <c r="B12" t="s">
        <v>81</v>
      </c>
      <c r="C12" s="12">
        <v>1</v>
      </c>
      <c r="D12" s="8">
        <v>0.37</v>
      </c>
      <c r="E12" s="12">
        <v>0</v>
      </c>
      <c r="F12" s="8">
        <v>0</v>
      </c>
      <c r="G12" s="12">
        <v>1</v>
      </c>
      <c r="H12" s="8">
        <v>0.79</v>
      </c>
      <c r="I12" s="12">
        <v>0</v>
      </c>
    </row>
    <row r="13" spans="2:9" ht="15" customHeight="1" x14ac:dyDescent="0.2">
      <c r="B13" t="s">
        <v>82</v>
      </c>
      <c r="C13" s="12">
        <v>7</v>
      </c>
      <c r="D13" s="8">
        <v>2.6</v>
      </c>
      <c r="E13" s="12">
        <v>1</v>
      </c>
      <c r="F13" s="8">
        <v>0.71</v>
      </c>
      <c r="G13" s="12">
        <v>6</v>
      </c>
      <c r="H13" s="8">
        <v>4.72</v>
      </c>
      <c r="I13" s="12">
        <v>0</v>
      </c>
    </row>
    <row r="14" spans="2:9" ht="15" customHeight="1" x14ac:dyDescent="0.2">
      <c r="B14" t="s">
        <v>83</v>
      </c>
      <c r="C14" s="12">
        <v>19</v>
      </c>
      <c r="D14" s="8">
        <v>7.06</v>
      </c>
      <c r="E14" s="12">
        <v>11</v>
      </c>
      <c r="F14" s="8">
        <v>7.86</v>
      </c>
      <c r="G14" s="12">
        <v>8</v>
      </c>
      <c r="H14" s="8">
        <v>6.3</v>
      </c>
      <c r="I14" s="12">
        <v>0</v>
      </c>
    </row>
    <row r="15" spans="2:9" ht="15" customHeight="1" x14ac:dyDescent="0.2">
      <c r="B15" t="s">
        <v>84</v>
      </c>
      <c r="C15" s="12">
        <v>17</v>
      </c>
      <c r="D15" s="8">
        <v>6.32</v>
      </c>
      <c r="E15" s="12">
        <v>14</v>
      </c>
      <c r="F15" s="8">
        <v>10</v>
      </c>
      <c r="G15" s="12">
        <v>3</v>
      </c>
      <c r="H15" s="8">
        <v>2.36</v>
      </c>
      <c r="I15" s="12">
        <v>0</v>
      </c>
    </row>
    <row r="16" spans="2:9" ht="15" customHeight="1" x14ac:dyDescent="0.2">
      <c r="B16" t="s">
        <v>85</v>
      </c>
      <c r="C16" s="12">
        <v>28</v>
      </c>
      <c r="D16" s="8">
        <v>10.41</v>
      </c>
      <c r="E16" s="12">
        <v>23</v>
      </c>
      <c r="F16" s="8">
        <v>16.43</v>
      </c>
      <c r="G16" s="12">
        <v>4</v>
      </c>
      <c r="H16" s="8">
        <v>3.15</v>
      </c>
      <c r="I16" s="12">
        <v>0</v>
      </c>
    </row>
    <row r="17" spans="2:9" ht="15" customHeight="1" x14ac:dyDescent="0.2">
      <c r="B17" t="s">
        <v>86</v>
      </c>
      <c r="C17" s="12">
        <v>19</v>
      </c>
      <c r="D17" s="8">
        <v>7.06</v>
      </c>
      <c r="E17" s="12">
        <v>16</v>
      </c>
      <c r="F17" s="8">
        <v>11.43</v>
      </c>
      <c r="G17" s="12">
        <v>2</v>
      </c>
      <c r="H17" s="8">
        <v>1.57</v>
      </c>
      <c r="I17" s="12">
        <v>0</v>
      </c>
    </row>
    <row r="18" spans="2:9" ht="15" customHeight="1" x14ac:dyDescent="0.2">
      <c r="B18" t="s">
        <v>87</v>
      </c>
      <c r="C18" s="12">
        <v>8</v>
      </c>
      <c r="D18" s="8">
        <v>2.97</v>
      </c>
      <c r="E18" s="12">
        <v>6</v>
      </c>
      <c r="F18" s="8">
        <v>4.29</v>
      </c>
      <c r="G18" s="12">
        <v>2</v>
      </c>
      <c r="H18" s="8">
        <v>1.57</v>
      </c>
      <c r="I18" s="12">
        <v>0</v>
      </c>
    </row>
    <row r="19" spans="2:9" ht="15" customHeight="1" x14ac:dyDescent="0.2">
      <c r="B19" t="s">
        <v>88</v>
      </c>
      <c r="C19" s="12">
        <v>12</v>
      </c>
      <c r="D19" s="8">
        <v>4.46</v>
      </c>
      <c r="E19" s="12">
        <v>5</v>
      </c>
      <c r="F19" s="8">
        <v>3.57</v>
      </c>
      <c r="G19" s="12">
        <v>7</v>
      </c>
      <c r="H19" s="8">
        <v>5.51</v>
      </c>
      <c r="I19" s="12">
        <v>0</v>
      </c>
    </row>
    <row r="20" spans="2:9" ht="15" customHeight="1" x14ac:dyDescent="0.2">
      <c r="B20" s="9" t="s">
        <v>269</v>
      </c>
      <c r="C20" s="12">
        <f>SUM(LTBL_11348[総数／事業所数])</f>
        <v>269</v>
      </c>
      <c r="E20" s="12">
        <f>SUBTOTAL(109,LTBL_11348[個人／事業所数])</f>
        <v>140</v>
      </c>
      <c r="G20" s="12">
        <f>SUBTOTAL(109,LTBL_11348[法人／事業所数])</f>
        <v>127</v>
      </c>
      <c r="I20" s="12">
        <f>SUBTOTAL(109,LTBL_11348[法人以外の団体／事業所数])</f>
        <v>0</v>
      </c>
    </row>
    <row r="21" spans="2:9" ht="15" customHeight="1" x14ac:dyDescent="0.2">
      <c r="E21" s="11">
        <f>LTBL_11348[[#Totals],[個人／事業所数]]/LTBL_11348[[#Totals],[総数／事業所数]]</f>
        <v>0.5204460966542751</v>
      </c>
      <c r="G21" s="11">
        <f>LTBL_11348[[#Totals],[法人／事業所数]]/LTBL_11348[[#Totals],[総数／事業所数]]</f>
        <v>0.47211895910780671</v>
      </c>
      <c r="I21" s="11">
        <f>LTBL_11348[[#Totals],[法人以外の団体／事業所数]]/LTBL_11348[[#Totals],[総数／事業所数]]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97</v>
      </c>
      <c r="C24" s="12">
        <v>29</v>
      </c>
      <c r="D24" s="8">
        <v>10.78</v>
      </c>
      <c r="E24" s="12">
        <v>12</v>
      </c>
      <c r="F24" s="8">
        <v>8.57</v>
      </c>
      <c r="G24" s="12">
        <v>17</v>
      </c>
      <c r="H24" s="8">
        <v>13.39</v>
      </c>
      <c r="I24" s="12">
        <v>0</v>
      </c>
    </row>
    <row r="25" spans="2:9" ht="15" customHeight="1" x14ac:dyDescent="0.2">
      <c r="B25" t="s">
        <v>112</v>
      </c>
      <c r="C25" s="12">
        <v>21</v>
      </c>
      <c r="D25" s="8">
        <v>7.81</v>
      </c>
      <c r="E25" s="12">
        <v>19</v>
      </c>
      <c r="F25" s="8">
        <v>13.57</v>
      </c>
      <c r="G25" s="12">
        <v>2</v>
      </c>
      <c r="H25" s="8">
        <v>1.57</v>
      </c>
      <c r="I25" s="12">
        <v>0</v>
      </c>
    </row>
    <row r="26" spans="2:9" ht="15" customHeight="1" x14ac:dyDescent="0.2">
      <c r="B26" t="s">
        <v>98</v>
      </c>
      <c r="C26" s="12">
        <v>19</v>
      </c>
      <c r="D26" s="8">
        <v>7.06</v>
      </c>
      <c r="E26" s="12">
        <v>10</v>
      </c>
      <c r="F26" s="8">
        <v>7.14</v>
      </c>
      <c r="G26" s="12">
        <v>9</v>
      </c>
      <c r="H26" s="8">
        <v>7.09</v>
      </c>
      <c r="I26" s="12">
        <v>0</v>
      </c>
    </row>
    <row r="27" spans="2:9" ht="15" customHeight="1" x14ac:dyDescent="0.2">
      <c r="B27" t="s">
        <v>99</v>
      </c>
      <c r="C27" s="12">
        <v>19</v>
      </c>
      <c r="D27" s="8">
        <v>7.06</v>
      </c>
      <c r="E27" s="12">
        <v>6</v>
      </c>
      <c r="F27" s="8">
        <v>4.29</v>
      </c>
      <c r="G27" s="12">
        <v>13</v>
      </c>
      <c r="H27" s="8">
        <v>10.24</v>
      </c>
      <c r="I27" s="12">
        <v>0</v>
      </c>
    </row>
    <row r="28" spans="2:9" ht="15" customHeight="1" x14ac:dyDescent="0.2">
      <c r="B28" t="s">
        <v>114</v>
      </c>
      <c r="C28" s="12">
        <v>19</v>
      </c>
      <c r="D28" s="8">
        <v>7.06</v>
      </c>
      <c r="E28" s="12">
        <v>16</v>
      </c>
      <c r="F28" s="8">
        <v>11.43</v>
      </c>
      <c r="G28" s="12">
        <v>2</v>
      </c>
      <c r="H28" s="8">
        <v>1.57</v>
      </c>
      <c r="I28" s="12">
        <v>0</v>
      </c>
    </row>
    <row r="29" spans="2:9" ht="15" customHeight="1" x14ac:dyDescent="0.2">
      <c r="B29" t="s">
        <v>111</v>
      </c>
      <c r="C29" s="12">
        <v>15</v>
      </c>
      <c r="D29" s="8">
        <v>5.58</v>
      </c>
      <c r="E29" s="12">
        <v>13</v>
      </c>
      <c r="F29" s="8">
        <v>9.2899999999999991</v>
      </c>
      <c r="G29" s="12">
        <v>2</v>
      </c>
      <c r="H29" s="8">
        <v>1.57</v>
      </c>
      <c r="I29" s="12">
        <v>0</v>
      </c>
    </row>
    <row r="30" spans="2:9" ht="15" customHeight="1" x14ac:dyDescent="0.2">
      <c r="B30" t="s">
        <v>106</v>
      </c>
      <c r="C30" s="12">
        <v>14</v>
      </c>
      <c r="D30" s="8">
        <v>5.2</v>
      </c>
      <c r="E30" s="12">
        <v>7</v>
      </c>
      <c r="F30" s="8">
        <v>5</v>
      </c>
      <c r="G30" s="12">
        <v>7</v>
      </c>
      <c r="H30" s="8">
        <v>5.51</v>
      </c>
      <c r="I30" s="12">
        <v>0</v>
      </c>
    </row>
    <row r="31" spans="2:9" ht="15" customHeight="1" x14ac:dyDescent="0.2">
      <c r="B31" t="s">
        <v>109</v>
      </c>
      <c r="C31" s="12">
        <v>11</v>
      </c>
      <c r="D31" s="8">
        <v>4.09</v>
      </c>
      <c r="E31" s="12">
        <v>9</v>
      </c>
      <c r="F31" s="8">
        <v>6.43</v>
      </c>
      <c r="G31" s="12">
        <v>2</v>
      </c>
      <c r="H31" s="8">
        <v>1.57</v>
      </c>
      <c r="I31" s="12">
        <v>0</v>
      </c>
    </row>
    <row r="32" spans="2:9" ht="15" customHeight="1" x14ac:dyDescent="0.2">
      <c r="B32" t="s">
        <v>104</v>
      </c>
      <c r="C32" s="12">
        <v>10</v>
      </c>
      <c r="D32" s="8">
        <v>3.72</v>
      </c>
      <c r="E32" s="12">
        <v>8</v>
      </c>
      <c r="F32" s="8">
        <v>5.71</v>
      </c>
      <c r="G32" s="12">
        <v>2</v>
      </c>
      <c r="H32" s="8">
        <v>1.57</v>
      </c>
      <c r="I32" s="12">
        <v>0</v>
      </c>
    </row>
    <row r="33" spans="2:9" ht="15" customHeight="1" x14ac:dyDescent="0.2">
      <c r="B33" t="s">
        <v>100</v>
      </c>
      <c r="C33" s="12">
        <v>9</v>
      </c>
      <c r="D33" s="8">
        <v>3.35</v>
      </c>
      <c r="E33" s="12">
        <v>6</v>
      </c>
      <c r="F33" s="8">
        <v>4.29</v>
      </c>
      <c r="G33" s="12">
        <v>3</v>
      </c>
      <c r="H33" s="8">
        <v>2.36</v>
      </c>
      <c r="I33" s="12">
        <v>0</v>
      </c>
    </row>
    <row r="34" spans="2:9" ht="15" customHeight="1" x14ac:dyDescent="0.2">
      <c r="B34" t="s">
        <v>110</v>
      </c>
      <c r="C34" s="12">
        <v>7</v>
      </c>
      <c r="D34" s="8">
        <v>2.6</v>
      </c>
      <c r="E34" s="12">
        <v>2</v>
      </c>
      <c r="F34" s="8">
        <v>1.43</v>
      </c>
      <c r="G34" s="12">
        <v>5</v>
      </c>
      <c r="H34" s="8">
        <v>3.94</v>
      </c>
      <c r="I34" s="12">
        <v>0</v>
      </c>
    </row>
    <row r="35" spans="2:9" ht="15" customHeight="1" x14ac:dyDescent="0.2">
      <c r="B35" t="s">
        <v>115</v>
      </c>
      <c r="C35" s="12">
        <v>6</v>
      </c>
      <c r="D35" s="8">
        <v>2.23</v>
      </c>
      <c r="E35" s="12">
        <v>6</v>
      </c>
      <c r="F35" s="8">
        <v>4.29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121</v>
      </c>
      <c r="C36" s="12">
        <v>5</v>
      </c>
      <c r="D36" s="8">
        <v>1.86</v>
      </c>
      <c r="E36" s="12">
        <v>2</v>
      </c>
      <c r="F36" s="8">
        <v>1.43</v>
      </c>
      <c r="G36" s="12">
        <v>3</v>
      </c>
      <c r="H36" s="8">
        <v>2.36</v>
      </c>
      <c r="I36" s="12">
        <v>0</v>
      </c>
    </row>
    <row r="37" spans="2:9" ht="15" customHeight="1" x14ac:dyDescent="0.2">
      <c r="B37" t="s">
        <v>101</v>
      </c>
      <c r="C37" s="12">
        <v>5</v>
      </c>
      <c r="D37" s="8">
        <v>1.86</v>
      </c>
      <c r="E37" s="12">
        <v>0</v>
      </c>
      <c r="F37" s="8">
        <v>0</v>
      </c>
      <c r="G37" s="12">
        <v>5</v>
      </c>
      <c r="H37" s="8">
        <v>3.94</v>
      </c>
      <c r="I37" s="12">
        <v>0</v>
      </c>
    </row>
    <row r="38" spans="2:9" ht="15" customHeight="1" x14ac:dyDescent="0.2">
      <c r="B38" t="s">
        <v>108</v>
      </c>
      <c r="C38" s="12">
        <v>5</v>
      </c>
      <c r="D38" s="8">
        <v>1.86</v>
      </c>
      <c r="E38" s="12">
        <v>1</v>
      </c>
      <c r="F38" s="8">
        <v>0.71</v>
      </c>
      <c r="G38" s="12">
        <v>4</v>
      </c>
      <c r="H38" s="8">
        <v>3.15</v>
      </c>
      <c r="I38" s="12">
        <v>0</v>
      </c>
    </row>
    <row r="39" spans="2:9" ht="15" customHeight="1" x14ac:dyDescent="0.2">
      <c r="B39" t="s">
        <v>124</v>
      </c>
      <c r="C39" s="12">
        <v>5</v>
      </c>
      <c r="D39" s="8">
        <v>1.86</v>
      </c>
      <c r="E39" s="12">
        <v>4</v>
      </c>
      <c r="F39" s="8">
        <v>2.86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119</v>
      </c>
      <c r="C40" s="12">
        <v>5</v>
      </c>
      <c r="D40" s="8">
        <v>1.86</v>
      </c>
      <c r="E40" s="12">
        <v>1</v>
      </c>
      <c r="F40" s="8">
        <v>0.71</v>
      </c>
      <c r="G40" s="12">
        <v>4</v>
      </c>
      <c r="H40" s="8">
        <v>3.15</v>
      </c>
      <c r="I40" s="12">
        <v>0</v>
      </c>
    </row>
    <row r="41" spans="2:9" ht="15" customHeight="1" x14ac:dyDescent="0.2">
      <c r="B41" t="s">
        <v>135</v>
      </c>
      <c r="C41" s="12">
        <v>4</v>
      </c>
      <c r="D41" s="8">
        <v>1.49</v>
      </c>
      <c r="E41" s="12">
        <v>1</v>
      </c>
      <c r="F41" s="8">
        <v>0.71</v>
      </c>
      <c r="G41" s="12">
        <v>3</v>
      </c>
      <c r="H41" s="8">
        <v>2.36</v>
      </c>
      <c r="I41" s="12">
        <v>0</v>
      </c>
    </row>
    <row r="42" spans="2:9" ht="15" customHeight="1" x14ac:dyDescent="0.2">
      <c r="B42" t="s">
        <v>123</v>
      </c>
      <c r="C42" s="12">
        <v>4</v>
      </c>
      <c r="D42" s="8">
        <v>1.49</v>
      </c>
      <c r="E42" s="12">
        <v>0</v>
      </c>
      <c r="F42" s="8">
        <v>0</v>
      </c>
      <c r="G42" s="12">
        <v>4</v>
      </c>
      <c r="H42" s="8">
        <v>3.15</v>
      </c>
      <c r="I42" s="12">
        <v>0</v>
      </c>
    </row>
    <row r="43" spans="2:9" ht="15" customHeight="1" x14ac:dyDescent="0.2">
      <c r="B43" t="s">
        <v>102</v>
      </c>
      <c r="C43" s="12">
        <v>4</v>
      </c>
      <c r="D43" s="8">
        <v>1.49</v>
      </c>
      <c r="E43" s="12">
        <v>0</v>
      </c>
      <c r="F43" s="8">
        <v>0</v>
      </c>
      <c r="G43" s="12">
        <v>4</v>
      </c>
      <c r="H43" s="8">
        <v>3.15</v>
      </c>
      <c r="I43" s="12">
        <v>0</v>
      </c>
    </row>
    <row r="44" spans="2:9" ht="15" customHeight="1" x14ac:dyDescent="0.2">
      <c r="B44" t="s">
        <v>116</v>
      </c>
      <c r="C44" s="12">
        <v>4</v>
      </c>
      <c r="D44" s="8">
        <v>1.49</v>
      </c>
      <c r="E44" s="12">
        <v>4</v>
      </c>
      <c r="F44" s="8">
        <v>2.86</v>
      </c>
      <c r="G44" s="12">
        <v>0</v>
      </c>
      <c r="H44" s="8">
        <v>0</v>
      </c>
      <c r="I44" s="12">
        <v>0</v>
      </c>
    </row>
    <row r="47" spans="2:9" ht="33" customHeight="1" x14ac:dyDescent="0.2">
      <c r="B47" t="s">
        <v>271</v>
      </c>
      <c r="C47" s="10" t="s">
        <v>90</v>
      </c>
      <c r="D47" s="10" t="s">
        <v>91</v>
      </c>
      <c r="E47" s="10" t="s">
        <v>92</v>
      </c>
      <c r="F47" s="10" t="s">
        <v>93</v>
      </c>
      <c r="G47" s="10" t="s">
        <v>94</v>
      </c>
      <c r="H47" s="10" t="s">
        <v>95</v>
      </c>
      <c r="I47" s="10" t="s">
        <v>96</v>
      </c>
    </row>
    <row r="48" spans="2:9" ht="15" customHeight="1" x14ac:dyDescent="0.2">
      <c r="B48" t="s">
        <v>173</v>
      </c>
      <c r="C48" s="12">
        <v>14</v>
      </c>
      <c r="D48" s="8">
        <v>5.2</v>
      </c>
      <c r="E48" s="12">
        <v>13</v>
      </c>
      <c r="F48" s="8">
        <v>9.2899999999999991</v>
      </c>
      <c r="G48" s="12">
        <v>1</v>
      </c>
      <c r="H48" s="8">
        <v>0.79</v>
      </c>
      <c r="I48" s="12">
        <v>0</v>
      </c>
    </row>
    <row r="49" spans="2:9" ht="15" customHeight="1" x14ac:dyDescent="0.2">
      <c r="B49" t="s">
        <v>174</v>
      </c>
      <c r="C49" s="12">
        <v>12</v>
      </c>
      <c r="D49" s="8">
        <v>4.46</v>
      </c>
      <c r="E49" s="12">
        <v>12</v>
      </c>
      <c r="F49" s="8">
        <v>8.57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157</v>
      </c>
      <c r="C50" s="12">
        <v>9</v>
      </c>
      <c r="D50" s="8">
        <v>3.35</v>
      </c>
      <c r="E50" s="12">
        <v>2</v>
      </c>
      <c r="F50" s="8">
        <v>1.43</v>
      </c>
      <c r="G50" s="12">
        <v>7</v>
      </c>
      <c r="H50" s="8">
        <v>5.51</v>
      </c>
      <c r="I50" s="12">
        <v>0</v>
      </c>
    </row>
    <row r="51" spans="2:9" ht="15" customHeight="1" x14ac:dyDescent="0.2">
      <c r="B51" t="s">
        <v>177</v>
      </c>
      <c r="C51" s="12">
        <v>8</v>
      </c>
      <c r="D51" s="8">
        <v>2.97</v>
      </c>
      <c r="E51" s="12">
        <v>3</v>
      </c>
      <c r="F51" s="8">
        <v>2.14</v>
      </c>
      <c r="G51" s="12">
        <v>5</v>
      </c>
      <c r="H51" s="8">
        <v>3.94</v>
      </c>
      <c r="I51" s="12">
        <v>0</v>
      </c>
    </row>
    <row r="52" spans="2:9" ht="15" customHeight="1" x14ac:dyDescent="0.2">
      <c r="B52" t="s">
        <v>161</v>
      </c>
      <c r="C52" s="12">
        <v>8</v>
      </c>
      <c r="D52" s="8">
        <v>2.97</v>
      </c>
      <c r="E52" s="12">
        <v>2</v>
      </c>
      <c r="F52" s="8">
        <v>1.43</v>
      </c>
      <c r="G52" s="12">
        <v>6</v>
      </c>
      <c r="H52" s="8">
        <v>4.72</v>
      </c>
      <c r="I52" s="12">
        <v>0</v>
      </c>
    </row>
    <row r="53" spans="2:9" ht="15" customHeight="1" x14ac:dyDescent="0.2">
      <c r="B53" t="s">
        <v>159</v>
      </c>
      <c r="C53" s="12">
        <v>7</v>
      </c>
      <c r="D53" s="8">
        <v>2.6</v>
      </c>
      <c r="E53" s="12">
        <v>4</v>
      </c>
      <c r="F53" s="8">
        <v>2.86</v>
      </c>
      <c r="G53" s="12">
        <v>3</v>
      </c>
      <c r="H53" s="8">
        <v>2.36</v>
      </c>
      <c r="I53" s="12">
        <v>0</v>
      </c>
    </row>
    <row r="54" spans="2:9" ht="15" customHeight="1" x14ac:dyDescent="0.2">
      <c r="B54" t="s">
        <v>200</v>
      </c>
      <c r="C54" s="12">
        <v>6</v>
      </c>
      <c r="D54" s="8">
        <v>2.23</v>
      </c>
      <c r="E54" s="12">
        <v>5</v>
      </c>
      <c r="F54" s="8">
        <v>3.57</v>
      </c>
      <c r="G54" s="12">
        <v>1</v>
      </c>
      <c r="H54" s="8">
        <v>0.79</v>
      </c>
      <c r="I54" s="12">
        <v>0</v>
      </c>
    </row>
    <row r="55" spans="2:9" ht="15" customHeight="1" x14ac:dyDescent="0.2">
      <c r="B55" t="s">
        <v>169</v>
      </c>
      <c r="C55" s="12">
        <v>6</v>
      </c>
      <c r="D55" s="8">
        <v>2.23</v>
      </c>
      <c r="E55" s="12">
        <v>5</v>
      </c>
      <c r="F55" s="8">
        <v>3.57</v>
      </c>
      <c r="G55" s="12">
        <v>1</v>
      </c>
      <c r="H55" s="8">
        <v>0.79</v>
      </c>
      <c r="I55" s="12">
        <v>0</v>
      </c>
    </row>
    <row r="56" spans="2:9" ht="15" customHeight="1" x14ac:dyDescent="0.2">
      <c r="B56" t="s">
        <v>172</v>
      </c>
      <c r="C56" s="12">
        <v>6</v>
      </c>
      <c r="D56" s="8">
        <v>2.23</v>
      </c>
      <c r="E56" s="12">
        <v>6</v>
      </c>
      <c r="F56" s="8">
        <v>4.29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180</v>
      </c>
      <c r="C57" s="12">
        <v>5</v>
      </c>
      <c r="D57" s="8">
        <v>1.86</v>
      </c>
      <c r="E57" s="12">
        <v>1</v>
      </c>
      <c r="F57" s="8">
        <v>0.71</v>
      </c>
      <c r="G57" s="12">
        <v>4</v>
      </c>
      <c r="H57" s="8">
        <v>3.15</v>
      </c>
      <c r="I57" s="12">
        <v>0</v>
      </c>
    </row>
    <row r="58" spans="2:9" ht="15" customHeight="1" x14ac:dyDescent="0.2">
      <c r="B58" t="s">
        <v>164</v>
      </c>
      <c r="C58" s="12">
        <v>5</v>
      </c>
      <c r="D58" s="8">
        <v>1.86</v>
      </c>
      <c r="E58" s="12">
        <v>3</v>
      </c>
      <c r="F58" s="8">
        <v>2.14</v>
      </c>
      <c r="G58" s="12">
        <v>2</v>
      </c>
      <c r="H58" s="8">
        <v>1.57</v>
      </c>
      <c r="I58" s="12">
        <v>0</v>
      </c>
    </row>
    <row r="59" spans="2:9" ht="15" customHeight="1" x14ac:dyDescent="0.2">
      <c r="B59" t="s">
        <v>233</v>
      </c>
      <c r="C59" s="12">
        <v>5</v>
      </c>
      <c r="D59" s="8">
        <v>1.86</v>
      </c>
      <c r="E59" s="12">
        <v>5</v>
      </c>
      <c r="F59" s="8">
        <v>3.57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158</v>
      </c>
      <c r="C60" s="12">
        <v>4</v>
      </c>
      <c r="D60" s="8">
        <v>1.49</v>
      </c>
      <c r="E60" s="12">
        <v>3</v>
      </c>
      <c r="F60" s="8">
        <v>2.14</v>
      </c>
      <c r="G60" s="12">
        <v>1</v>
      </c>
      <c r="H60" s="8">
        <v>0.79</v>
      </c>
      <c r="I60" s="12">
        <v>0</v>
      </c>
    </row>
    <row r="61" spans="2:9" ht="15" customHeight="1" x14ac:dyDescent="0.2">
      <c r="B61" t="s">
        <v>197</v>
      </c>
      <c r="C61" s="12">
        <v>4</v>
      </c>
      <c r="D61" s="8">
        <v>1.49</v>
      </c>
      <c r="E61" s="12">
        <v>3</v>
      </c>
      <c r="F61" s="8">
        <v>2.14</v>
      </c>
      <c r="G61" s="12">
        <v>1</v>
      </c>
      <c r="H61" s="8">
        <v>0.79</v>
      </c>
      <c r="I61" s="12">
        <v>0</v>
      </c>
    </row>
    <row r="62" spans="2:9" ht="15" customHeight="1" x14ac:dyDescent="0.2">
      <c r="B62" t="s">
        <v>160</v>
      </c>
      <c r="C62" s="12">
        <v>4</v>
      </c>
      <c r="D62" s="8">
        <v>1.49</v>
      </c>
      <c r="E62" s="12">
        <v>1</v>
      </c>
      <c r="F62" s="8">
        <v>0.71</v>
      </c>
      <c r="G62" s="12">
        <v>3</v>
      </c>
      <c r="H62" s="8">
        <v>2.36</v>
      </c>
      <c r="I62" s="12">
        <v>0</v>
      </c>
    </row>
    <row r="63" spans="2:9" ht="15" customHeight="1" x14ac:dyDescent="0.2">
      <c r="B63" t="s">
        <v>220</v>
      </c>
      <c r="C63" s="12">
        <v>4</v>
      </c>
      <c r="D63" s="8">
        <v>1.49</v>
      </c>
      <c r="E63" s="12">
        <v>1</v>
      </c>
      <c r="F63" s="8">
        <v>0.71</v>
      </c>
      <c r="G63" s="12">
        <v>3</v>
      </c>
      <c r="H63" s="8">
        <v>2.36</v>
      </c>
      <c r="I63" s="12">
        <v>0</v>
      </c>
    </row>
    <row r="64" spans="2:9" ht="15" customHeight="1" x14ac:dyDescent="0.2">
      <c r="B64" t="s">
        <v>199</v>
      </c>
      <c r="C64" s="12">
        <v>4</v>
      </c>
      <c r="D64" s="8">
        <v>1.49</v>
      </c>
      <c r="E64" s="12">
        <v>0</v>
      </c>
      <c r="F64" s="8">
        <v>0</v>
      </c>
      <c r="G64" s="12">
        <v>4</v>
      </c>
      <c r="H64" s="8">
        <v>3.15</v>
      </c>
      <c r="I64" s="12">
        <v>0</v>
      </c>
    </row>
    <row r="65" spans="2:9" ht="15" customHeight="1" x14ac:dyDescent="0.2">
      <c r="B65" t="s">
        <v>185</v>
      </c>
      <c r="C65" s="12">
        <v>4</v>
      </c>
      <c r="D65" s="8">
        <v>1.49</v>
      </c>
      <c r="E65" s="12">
        <v>0</v>
      </c>
      <c r="F65" s="8">
        <v>0</v>
      </c>
      <c r="G65" s="12">
        <v>4</v>
      </c>
      <c r="H65" s="8">
        <v>3.15</v>
      </c>
      <c r="I65" s="12">
        <v>0</v>
      </c>
    </row>
    <row r="66" spans="2:9" ht="15" customHeight="1" x14ac:dyDescent="0.2">
      <c r="B66" t="s">
        <v>178</v>
      </c>
      <c r="C66" s="12">
        <v>4</v>
      </c>
      <c r="D66" s="8">
        <v>1.49</v>
      </c>
      <c r="E66" s="12">
        <v>1</v>
      </c>
      <c r="F66" s="8">
        <v>0.71</v>
      </c>
      <c r="G66" s="12">
        <v>3</v>
      </c>
      <c r="H66" s="8">
        <v>2.36</v>
      </c>
      <c r="I66" s="12">
        <v>0</v>
      </c>
    </row>
    <row r="67" spans="2:9" ht="15" customHeight="1" x14ac:dyDescent="0.2">
      <c r="B67" t="s">
        <v>170</v>
      </c>
      <c r="C67" s="12">
        <v>4</v>
      </c>
      <c r="D67" s="8">
        <v>1.49</v>
      </c>
      <c r="E67" s="12">
        <v>3</v>
      </c>
      <c r="F67" s="8">
        <v>2.14</v>
      </c>
      <c r="G67" s="12">
        <v>1</v>
      </c>
      <c r="H67" s="8">
        <v>0.79</v>
      </c>
      <c r="I67" s="12">
        <v>0</v>
      </c>
    </row>
    <row r="68" spans="2:9" ht="15" customHeight="1" x14ac:dyDescent="0.2">
      <c r="B68" t="s">
        <v>179</v>
      </c>
      <c r="C68" s="12">
        <v>4</v>
      </c>
      <c r="D68" s="8">
        <v>1.49</v>
      </c>
      <c r="E68" s="12">
        <v>4</v>
      </c>
      <c r="F68" s="8">
        <v>2.86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175</v>
      </c>
      <c r="C69" s="12">
        <v>4</v>
      </c>
      <c r="D69" s="8">
        <v>1.49</v>
      </c>
      <c r="E69" s="12">
        <v>4</v>
      </c>
      <c r="F69" s="8">
        <v>2.86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176</v>
      </c>
      <c r="C70" s="12">
        <v>4</v>
      </c>
      <c r="D70" s="8">
        <v>1.49</v>
      </c>
      <c r="E70" s="12">
        <v>4</v>
      </c>
      <c r="F70" s="8">
        <v>2.86</v>
      </c>
      <c r="G70" s="12">
        <v>0</v>
      </c>
      <c r="H70" s="8">
        <v>0</v>
      </c>
      <c r="I70" s="12">
        <v>0</v>
      </c>
    </row>
    <row r="72" spans="2:9" ht="15" customHeight="1" x14ac:dyDescent="0.2">
      <c r="B72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674BB-3249-4D90-996A-A68FE266DE65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333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66</v>
      </c>
      <c r="D6" s="8">
        <v>18.86</v>
      </c>
      <c r="E6" s="12">
        <v>33</v>
      </c>
      <c r="F6" s="8">
        <v>16.920000000000002</v>
      </c>
      <c r="G6" s="12">
        <v>33</v>
      </c>
      <c r="H6" s="8">
        <v>22.15</v>
      </c>
      <c r="I6" s="12">
        <v>0</v>
      </c>
    </row>
    <row r="7" spans="2:9" ht="15" customHeight="1" x14ac:dyDescent="0.2">
      <c r="B7" t="s">
        <v>76</v>
      </c>
      <c r="C7" s="12">
        <v>104</v>
      </c>
      <c r="D7" s="8">
        <v>29.71</v>
      </c>
      <c r="E7" s="12">
        <v>43</v>
      </c>
      <c r="F7" s="8">
        <v>22.05</v>
      </c>
      <c r="G7" s="12">
        <v>61</v>
      </c>
      <c r="H7" s="8">
        <v>40.94</v>
      </c>
      <c r="I7" s="12">
        <v>0</v>
      </c>
    </row>
    <row r="8" spans="2:9" ht="15" customHeight="1" x14ac:dyDescent="0.2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78</v>
      </c>
      <c r="C9" s="12">
        <v>3</v>
      </c>
      <c r="D9" s="8">
        <v>0.86</v>
      </c>
      <c r="E9" s="12">
        <v>0</v>
      </c>
      <c r="F9" s="8">
        <v>0</v>
      </c>
      <c r="G9" s="12">
        <v>3</v>
      </c>
      <c r="H9" s="8">
        <v>2.0099999999999998</v>
      </c>
      <c r="I9" s="12">
        <v>0</v>
      </c>
    </row>
    <row r="10" spans="2:9" ht="15" customHeight="1" x14ac:dyDescent="0.2">
      <c r="B10" t="s">
        <v>79</v>
      </c>
      <c r="C10" s="12">
        <v>3</v>
      </c>
      <c r="D10" s="8">
        <v>0.86</v>
      </c>
      <c r="E10" s="12">
        <v>0</v>
      </c>
      <c r="F10" s="8">
        <v>0</v>
      </c>
      <c r="G10" s="12">
        <v>3</v>
      </c>
      <c r="H10" s="8">
        <v>2.0099999999999998</v>
      </c>
      <c r="I10" s="12">
        <v>0</v>
      </c>
    </row>
    <row r="11" spans="2:9" ht="15" customHeight="1" x14ac:dyDescent="0.2">
      <c r="B11" t="s">
        <v>80</v>
      </c>
      <c r="C11" s="12">
        <v>72</v>
      </c>
      <c r="D11" s="8">
        <v>20.57</v>
      </c>
      <c r="E11" s="12">
        <v>47</v>
      </c>
      <c r="F11" s="8">
        <v>24.1</v>
      </c>
      <c r="G11" s="12">
        <v>25</v>
      </c>
      <c r="H11" s="8">
        <v>16.78</v>
      </c>
      <c r="I11" s="12">
        <v>0</v>
      </c>
    </row>
    <row r="12" spans="2:9" ht="15" customHeight="1" x14ac:dyDescent="0.2">
      <c r="B12" t="s">
        <v>81</v>
      </c>
      <c r="C12" s="12">
        <v>1</v>
      </c>
      <c r="D12" s="8">
        <v>0.28999999999999998</v>
      </c>
      <c r="E12" s="12">
        <v>1</v>
      </c>
      <c r="F12" s="8">
        <v>0.51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82</v>
      </c>
      <c r="C13" s="12">
        <v>8</v>
      </c>
      <c r="D13" s="8">
        <v>2.29</v>
      </c>
      <c r="E13" s="12">
        <v>0</v>
      </c>
      <c r="F13" s="8">
        <v>0</v>
      </c>
      <c r="G13" s="12">
        <v>8</v>
      </c>
      <c r="H13" s="8">
        <v>5.37</v>
      </c>
      <c r="I13" s="12">
        <v>0</v>
      </c>
    </row>
    <row r="14" spans="2:9" ht="15" customHeight="1" x14ac:dyDescent="0.2">
      <c r="B14" t="s">
        <v>83</v>
      </c>
      <c r="C14" s="12">
        <v>6</v>
      </c>
      <c r="D14" s="8">
        <v>1.71</v>
      </c>
      <c r="E14" s="12">
        <v>4</v>
      </c>
      <c r="F14" s="8">
        <v>2.0499999999999998</v>
      </c>
      <c r="G14" s="12">
        <v>2</v>
      </c>
      <c r="H14" s="8">
        <v>1.34</v>
      </c>
      <c r="I14" s="12">
        <v>0</v>
      </c>
    </row>
    <row r="15" spans="2:9" ht="15" customHeight="1" x14ac:dyDescent="0.2">
      <c r="B15" t="s">
        <v>84</v>
      </c>
      <c r="C15" s="12">
        <v>35</v>
      </c>
      <c r="D15" s="8">
        <v>10</v>
      </c>
      <c r="E15" s="12">
        <v>32</v>
      </c>
      <c r="F15" s="8">
        <v>16.41</v>
      </c>
      <c r="G15" s="12">
        <v>3</v>
      </c>
      <c r="H15" s="8">
        <v>2.0099999999999998</v>
      </c>
      <c r="I15" s="12">
        <v>0</v>
      </c>
    </row>
    <row r="16" spans="2:9" ht="15" customHeight="1" x14ac:dyDescent="0.2">
      <c r="B16" t="s">
        <v>85</v>
      </c>
      <c r="C16" s="12">
        <v>24</v>
      </c>
      <c r="D16" s="8">
        <v>6.86</v>
      </c>
      <c r="E16" s="12">
        <v>18</v>
      </c>
      <c r="F16" s="8">
        <v>9.23</v>
      </c>
      <c r="G16" s="12">
        <v>5</v>
      </c>
      <c r="H16" s="8">
        <v>3.36</v>
      </c>
      <c r="I16" s="12">
        <v>0</v>
      </c>
    </row>
    <row r="17" spans="2:9" ht="15" customHeight="1" x14ac:dyDescent="0.2">
      <c r="B17" t="s">
        <v>86</v>
      </c>
      <c r="C17" s="12">
        <v>8</v>
      </c>
      <c r="D17" s="8">
        <v>2.29</v>
      </c>
      <c r="E17" s="12">
        <v>4</v>
      </c>
      <c r="F17" s="8">
        <v>2.0499999999999998</v>
      </c>
      <c r="G17" s="12">
        <v>1</v>
      </c>
      <c r="H17" s="8">
        <v>0.67</v>
      </c>
      <c r="I17" s="12">
        <v>0</v>
      </c>
    </row>
    <row r="18" spans="2:9" ht="15" customHeight="1" x14ac:dyDescent="0.2">
      <c r="B18" t="s">
        <v>87</v>
      </c>
      <c r="C18" s="12">
        <v>9</v>
      </c>
      <c r="D18" s="8">
        <v>2.57</v>
      </c>
      <c r="E18" s="12">
        <v>6</v>
      </c>
      <c r="F18" s="8">
        <v>3.08</v>
      </c>
      <c r="G18" s="12">
        <v>2</v>
      </c>
      <c r="H18" s="8">
        <v>1.34</v>
      </c>
      <c r="I18" s="12">
        <v>0</v>
      </c>
    </row>
    <row r="19" spans="2:9" ht="15" customHeight="1" x14ac:dyDescent="0.2">
      <c r="B19" t="s">
        <v>88</v>
      </c>
      <c r="C19" s="12">
        <v>11</v>
      </c>
      <c r="D19" s="8">
        <v>3.14</v>
      </c>
      <c r="E19" s="12">
        <v>7</v>
      </c>
      <c r="F19" s="8">
        <v>3.59</v>
      </c>
      <c r="G19" s="12">
        <v>3</v>
      </c>
      <c r="H19" s="8">
        <v>2.0099999999999998</v>
      </c>
      <c r="I19" s="12">
        <v>0</v>
      </c>
    </row>
    <row r="20" spans="2:9" ht="15" customHeight="1" x14ac:dyDescent="0.2">
      <c r="B20" s="9" t="s">
        <v>269</v>
      </c>
      <c r="C20" s="12">
        <f>SUM(LTBL_11349[総数／事業所数])</f>
        <v>350</v>
      </c>
      <c r="E20" s="12">
        <f>SUBTOTAL(109,LTBL_11349[個人／事業所数])</f>
        <v>195</v>
      </c>
      <c r="G20" s="12">
        <f>SUBTOTAL(109,LTBL_11349[法人／事業所数])</f>
        <v>149</v>
      </c>
      <c r="I20" s="12">
        <f>SUBTOTAL(109,LTBL_11349[法人以外の団体／事業所数])</f>
        <v>0</v>
      </c>
    </row>
    <row r="21" spans="2:9" ht="15" customHeight="1" x14ac:dyDescent="0.2">
      <c r="E21" s="11">
        <f>LTBL_11349[[#Totals],[個人／事業所数]]/LTBL_11349[[#Totals],[総数／事業所数]]</f>
        <v>0.55714285714285716</v>
      </c>
      <c r="G21" s="11">
        <f>LTBL_11349[[#Totals],[法人／事業所数]]/LTBL_11349[[#Totals],[総数／事業所数]]</f>
        <v>0.42571428571428571</v>
      </c>
      <c r="I21" s="11">
        <f>LTBL_11349[[#Totals],[法人以外の団体／事業所数]]/LTBL_11349[[#Totals],[総数／事業所数]]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130</v>
      </c>
      <c r="C24" s="12">
        <v>43</v>
      </c>
      <c r="D24" s="8">
        <v>12.29</v>
      </c>
      <c r="E24" s="12">
        <v>23</v>
      </c>
      <c r="F24" s="8">
        <v>11.79</v>
      </c>
      <c r="G24" s="12">
        <v>20</v>
      </c>
      <c r="H24" s="8">
        <v>13.42</v>
      </c>
      <c r="I24" s="12">
        <v>0</v>
      </c>
    </row>
    <row r="25" spans="2:9" ht="15" customHeight="1" x14ac:dyDescent="0.2">
      <c r="B25" t="s">
        <v>111</v>
      </c>
      <c r="C25" s="12">
        <v>33</v>
      </c>
      <c r="D25" s="8">
        <v>9.43</v>
      </c>
      <c r="E25" s="12">
        <v>30</v>
      </c>
      <c r="F25" s="8">
        <v>15.38</v>
      </c>
      <c r="G25" s="12">
        <v>3</v>
      </c>
      <c r="H25" s="8">
        <v>2.0099999999999998</v>
      </c>
      <c r="I25" s="12">
        <v>0</v>
      </c>
    </row>
    <row r="26" spans="2:9" ht="15" customHeight="1" x14ac:dyDescent="0.2">
      <c r="B26" t="s">
        <v>97</v>
      </c>
      <c r="C26" s="12">
        <v>31</v>
      </c>
      <c r="D26" s="8">
        <v>8.86</v>
      </c>
      <c r="E26" s="12">
        <v>11</v>
      </c>
      <c r="F26" s="8">
        <v>5.64</v>
      </c>
      <c r="G26" s="12">
        <v>20</v>
      </c>
      <c r="H26" s="8">
        <v>13.42</v>
      </c>
      <c r="I26" s="12">
        <v>0</v>
      </c>
    </row>
    <row r="27" spans="2:9" ht="15" customHeight="1" x14ac:dyDescent="0.2">
      <c r="B27" t="s">
        <v>98</v>
      </c>
      <c r="C27" s="12">
        <v>27</v>
      </c>
      <c r="D27" s="8">
        <v>7.71</v>
      </c>
      <c r="E27" s="12">
        <v>18</v>
      </c>
      <c r="F27" s="8">
        <v>9.23</v>
      </c>
      <c r="G27" s="12">
        <v>9</v>
      </c>
      <c r="H27" s="8">
        <v>6.04</v>
      </c>
      <c r="I27" s="12">
        <v>0</v>
      </c>
    </row>
    <row r="28" spans="2:9" ht="15" customHeight="1" x14ac:dyDescent="0.2">
      <c r="B28" t="s">
        <v>104</v>
      </c>
      <c r="C28" s="12">
        <v>22</v>
      </c>
      <c r="D28" s="8">
        <v>6.29</v>
      </c>
      <c r="E28" s="12">
        <v>20</v>
      </c>
      <c r="F28" s="8">
        <v>10.26</v>
      </c>
      <c r="G28" s="12">
        <v>2</v>
      </c>
      <c r="H28" s="8">
        <v>1.34</v>
      </c>
      <c r="I28" s="12">
        <v>0</v>
      </c>
    </row>
    <row r="29" spans="2:9" ht="15" customHeight="1" x14ac:dyDescent="0.2">
      <c r="B29" t="s">
        <v>106</v>
      </c>
      <c r="C29" s="12">
        <v>22</v>
      </c>
      <c r="D29" s="8">
        <v>6.29</v>
      </c>
      <c r="E29" s="12">
        <v>13</v>
      </c>
      <c r="F29" s="8">
        <v>6.67</v>
      </c>
      <c r="G29" s="12">
        <v>9</v>
      </c>
      <c r="H29" s="8">
        <v>6.04</v>
      </c>
      <c r="I29" s="12">
        <v>0</v>
      </c>
    </row>
    <row r="30" spans="2:9" ht="15" customHeight="1" x14ac:dyDescent="0.2">
      <c r="B30" t="s">
        <v>112</v>
      </c>
      <c r="C30" s="12">
        <v>19</v>
      </c>
      <c r="D30" s="8">
        <v>5.43</v>
      </c>
      <c r="E30" s="12">
        <v>16</v>
      </c>
      <c r="F30" s="8">
        <v>8.2100000000000009</v>
      </c>
      <c r="G30" s="12">
        <v>3</v>
      </c>
      <c r="H30" s="8">
        <v>2.0099999999999998</v>
      </c>
      <c r="I30" s="12">
        <v>0</v>
      </c>
    </row>
    <row r="31" spans="2:9" ht="15" customHeight="1" x14ac:dyDescent="0.2">
      <c r="B31" t="s">
        <v>100</v>
      </c>
      <c r="C31" s="12">
        <v>16</v>
      </c>
      <c r="D31" s="8">
        <v>4.57</v>
      </c>
      <c r="E31" s="12">
        <v>7</v>
      </c>
      <c r="F31" s="8">
        <v>3.59</v>
      </c>
      <c r="G31" s="12">
        <v>9</v>
      </c>
      <c r="H31" s="8">
        <v>6.04</v>
      </c>
      <c r="I31" s="12">
        <v>0</v>
      </c>
    </row>
    <row r="32" spans="2:9" ht="15" customHeight="1" x14ac:dyDescent="0.2">
      <c r="B32" t="s">
        <v>105</v>
      </c>
      <c r="C32" s="12">
        <v>10</v>
      </c>
      <c r="D32" s="8">
        <v>2.86</v>
      </c>
      <c r="E32" s="12">
        <v>7</v>
      </c>
      <c r="F32" s="8">
        <v>3.59</v>
      </c>
      <c r="G32" s="12">
        <v>3</v>
      </c>
      <c r="H32" s="8">
        <v>2.0099999999999998</v>
      </c>
      <c r="I32" s="12">
        <v>0</v>
      </c>
    </row>
    <row r="33" spans="2:9" ht="15" customHeight="1" x14ac:dyDescent="0.2">
      <c r="B33" t="s">
        <v>99</v>
      </c>
      <c r="C33" s="12">
        <v>8</v>
      </c>
      <c r="D33" s="8">
        <v>2.29</v>
      </c>
      <c r="E33" s="12">
        <v>4</v>
      </c>
      <c r="F33" s="8">
        <v>2.0499999999999998</v>
      </c>
      <c r="G33" s="12">
        <v>4</v>
      </c>
      <c r="H33" s="8">
        <v>2.68</v>
      </c>
      <c r="I33" s="12">
        <v>0</v>
      </c>
    </row>
    <row r="34" spans="2:9" ht="15" customHeight="1" x14ac:dyDescent="0.2">
      <c r="B34" t="s">
        <v>129</v>
      </c>
      <c r="C34" s="12">
        <v>8</v>
      </c>
      <c r="D34" s="8">
        <v>2.29</v>
      </c>
      <c r="E34" s="12">
        <v>2</v>
      </c>
      <c r="F34" s="8">
        <v>1.03</v>
      </c>
      <c r="G34" s="12">
        <v>6</v>
      </c>
      <c r="H34" s="8">
        <v>4.03</v>
      </c>
      <c r="I34" s="12">
        <v>0</v>
      </c>
    </row>
    <row r="35" spans="2:9" ht="15" customHeight="1" x14ac:dyDescent="0.2">
      <c r="B35" t="s">
        <v>114</v>
      </c>
      <c r="C35" s="12">
        <v>8</v>
      </c>
      <c r="D35" s="8">
        <v>2.29</v>
      </c>
      <c r="E35" s="12">
        <v>4</v>
      </c>
      <c r="F35" s="8">
        <v>2.0499999999999998</v>
      </c>
      <c r="G35" s="12">
        <v>1</v>
      </c>
      <c r="H35" s="8">
        <v>0.67</v>
      </c>
      <c r="I35" s="12">
        <v>0</v>
      </c>
    </row>
    <row r="36" spans="2:9" ht="15" customHeight="1" x14ac:dyDescent="0.2">
      <c r="B36" t="s">
        <v>116</v>
      </c>
      <c r="C36" s="12">
        <v>8</v>
      </c>
      <c r="D36" s="8">
        <v>2.29</v>
      </c>
      <c r="E36" s="12">
        <v>6</v>
      </c>
      <c r="F36" s="8">
        <v>3.08</v>
      </c>
      <c r="G36" s="12">
        <v>2</v>
      </c>
      <c r="H36" s="8">
        <v>1.34</v>
      </c>
      <c r="I36" s="12">
        <v>0</v>
      </c>
    </row>
    <row r="37" spans="2:9" ht="15" customHeight="1" x14ac:dyDescent="0.2">
      <c r="B37" t="s">
        <v>120</v>
      </c>
      <c r="C37" s="12">
        <v>7</v>
      </c>
      <c r="D37" s="8">
        <v>2</v>
      </c>
      <c r="E37" s="12">
        <v>1</v>
      </c>
      <c r="F37" s="8">
        <v>0.51</v>
      </c>
      <c r="G37" s="12">
        <v>6</v>
      </c>
      <c r="H37" s="8">
        <v>4.03</v>
      </c>
      <c r="I37" s="12">
        <v>0</v>
      </c>
    </row>
    <row r="38" spans="2:9" ht="15" customHeight="1" x14ac:dyDescent="0.2">
      <c r="B38" t="s">
        <v>101</v>
      </c>
      <c r="C38" s="12">
        <v>7</v>
      </c>
      <c r="D38" s="8">
        <v>2</v>
      </c>
      <c r="E38" s="12">
        <v>3</v>
      </c>
      <c r="F38" s="8">
        <v>1.54</v>
      </c>
      <c r="G38" s="12">
        <v>4</v>
      </c>
      <c r="H38" s="8">
        <v>2.68</v>
      </c>
      <c r="I38" s="12">
        <v>0</v>
      </c>
    </row>
    <row r="39" spans="2:9" ht="15" customHeight="1" x14ac:dyDescent="0.2">
      <c r="B39" t="s">
        <v>108</v>
      </c>
      <c r="C39" s="12">
        <v>7</v>
      </c>
      <c r="D39" s="8">
        <v>2</v>
      </c>
      <c r="E39" s="12">
        <v>0</v>
      </c>
      <c r="F39" s="8">
        <v>0</v>
      </c>
      <c r="G39" s="12">
        <v>7</v>
      </c>
      <c r="H39" s="8">
        <v>4.7</v>
      </c>
      <c r="I39" s="12">
        <v>0</v>
      </c>
    </row>
    <row r="40" spans="2:9" ht="15" customHeight="1" x14ac:dyDescent="0.2">
      <c r="B40" t="s">
        <v>135</v>
      </c>
      <c r="C40" s="12">
        <v>6</v>
      </c>
      <c r="D40" s="8">
        <v>1.71</v>
      </c>
      <c r="E40" s="12">
        <v>3</v>
      </c>
      <c r="F40" s="8">
        <v>1.54</v>
      </c>
      <c r="G40" s="12">
        <v>3</v>
      </c>
      <c r="H40" s="8">
        <v>2.0099999999999998</v>
      </c>
      <c r="I40" s="12">
        <v>0</v>
      </c>
    </row>
    <row r="41" spans="2:9" ht="15" customHeight="1" x14ac:dyDescent="0.2">
      <c r="B41" t="s">
        <v>117</v>
      </c>
      <c r="C41" s="12">
        <v>6</v>
      </c>
      <c r="D41" s="8">
        <v>1.71</v>
      </c>
      <c r="E41" s="12">
        <v>2</v>
      </c>
      <c r="F41" s="8">
        <v>1.03</v>
      </c>
      <c r="G41" s="12">
        <v>4</v>
      </c>
      <c r="H41" s="8">
        <v>2.68</v>
      </c>
      <c r="I41" s="12">
        <v>0</v>
      </c>
    </row>
    <row r="42" spans="2:9" ht="15" customHeight="1" x14ac:dyDescent="0.2">
      <c r="B42" t="s">
        <v>115</v>
      </c>
      <c r="C42" s="12">
        <v>6</v>
      </c>
      <c r="D42" s="8">
        <v>1.71</v>
      </c>
      <c r="E42" s="12">
        <v>6</v>
      </c>
      <c r="F42" s="8">
        <v>3.08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139</v>
      </c>
      <c r="C43" s="12">
        <v>4</v>
      </c>
      <c r="D43" s="8">
        <v>1.1399999999999999</v>
      </c>
      <c r="E43" s="12">
        <v>3</v>
      </c>
      <c r="F43" s="8">
        <v>1.54</v>
      </c>
      <c r="G43" s="12">
        <v>1</v>
      </c>
      <c r="H43" s="8">
        <v>0.67</v>
      </c>
      <c r="I43" s="12">
        <v>0</v>
      </c>
    </row>
    <row r="44" spans="2:9" ht="15" customHeight="1" x14ac:dyDescent="0.2">
      <c r="B44" t="s">
        <v>113</v>
      </c>
      <c r="C44" s="12">
        <v>4</v>
      </c>
      <c r="D44" s="8">
        <v>1.1399999999999999</v>
      </c>
      <c r="E44" s="12">
        <v>2</v>
      </c>
      <c r="F44" s="8">
        <v>1.03</v>
      </c>
      <c r="G44" s="12">
        <v>2</v>
      </c>
      <c r="H44" s="8">
        <v>1.34</v>
      </c>
      <c r="I44" s="12">
        <v>0</v>
      </c>
    </row>
    <row r="47" spans="2:9" ht="33" customHeight="1" x14ac:dyDescent="0.2">
      <c r="B47" t="s">
        <v>271</v>
      </c>
      <c r="C47" s="10" t="s">
        <v>90</v>
      </c>
      <c r="D47" s="10" t="s">
        <v>91</v>
      </c>
      <c r="E47" s="10" t="s">
        <v>92</v>
      </c>
      <c r="F47" s="10" t="s">
        <v>93</v>
      </c>
      <c r="G47" s="10" t="s">
        <v>94</v>
      </c>
      <c r="H47" s="10" t="s">
        <v>95</v>
      </c>
      <c r="I47" s="10" t="s">
        <v>96</v>
      </c>
    </row>
    <row r="48" spans="2:9" ht="15" customHeight="1" x14ac:dyDescent="0.2">
      <c r="B48" t="s">
        <v>223</v>
      </c>
      <c r="C48" s="12">
        <v>38</v>
      </c>
      <c r="D48" s="8">
        <v>10.86</v>
      </c>
      <c r="E48" s="12">
        <v>22</v>
      </c>
      <c r="F48" s="8">
        <v>11.28</v>
      </c>
      <c r="G48" s="12">
        <v>16</v>
      </c>
      <c r="H48" s="8">
        <v>10.74</v>
      </c>
      <c r="I48" s="12">
        <v>0</v>
      </c>
    </row>
    <row r="49" spans="2:9" ht="15" customHeight="1" x14ac:dyDescent="0.2">
      <c r="B49" t="s">
        <v>159</v>
      </c>
      <c r="C49" s="12">
        <v>15</v>
      </c>
      <c r="D49" s="8">
        <v>4.29</v>
      </c>
      <c r="E49" s="12">
        <v>6</v>
      </c>
      <c r="F49" s="8">
        <v>3.08</v>
      </c>
      <c r="G49" s="12">
        <v>9</v>
      </c>
      <c r="H49" s="8">
        <v>6.04</v>
      </c>
      <c r="I49" s="12">
        <v>0</v>
      </c>
    </row>
    <row r="50" spans="2:9" ht="15" customHeight="1" x14ac:dyDescent="0.2">
      <c r="B50" t="s">
        <v>200</v>
      </c>
      <c r="C50" s="12">
        <v>9</v>
      </c>
      <c r="D50" s="8">
        <v>2.57</v>
      </c>
      <c r="E50" s="12">
        <v>5</v>
      </c>
      <c r="F50" s="8">
        <v>2.56</v>
      </c>
      <c r="G50" s="12">
        <v>4</v>
      </c>
      <c r="H50" s="8">
        <v>2.68</v>
      </c>
      <c r="I50" s="12">
        <v>0</v>
      </c>
    </row>
    <row r="51" spans="2:9" ht="15" customHeight="1" x14ac:dyDescent="0.2">
      <c r="B51" t="s">
        <v>169</v>
      </c>
      <c r="C51" s="12">
        <v>9</v>
      </c>
      <c r="D51" s="8">
        <v>2.57</v>
      </c>
      <c r="E51" s="12">
        <v>7</v>
      </c>
      <c r="F51" s="8">
        <v>3.59</v>
      </c>
      <c r="G51" s="12">
        <v>2</v>
      </c>
      <c r="H51" s="8">
        <v>1.34</v>
      </c>
      <c r="I51" s="12">
        <v>0</v>
      </c>
    </row>
    <row r="52" spans="2:9" ht="15" customHeight="1" x14ac:dyDescent="0.2">
      <c r="B52" t="s">
        <v>206</v>
      </c>
      <c r="C52" s="12">
        <v>9</v>
      </c>
      <c r="D52" s="8">
        <v>2.57</v>
      </c>
      <c r="E52" s="12">
        <v>9</v>
      </c>
      <c r="F52" s="8">
        <v>4.62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172</v>
      </c>
      <c r="C53" s="12">
        <v>9</v>
      </c>
      <c r="D53" s="8">
        <v>2.57</v>
      </c>
      <c r="E53" s="12">
        <v>9</v>
      </c>
      <c r="F53" s="8">
        <v>4.62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157</v>
      </c>
      <c r="C54" s="12">
        <v>8</v>
      </c>
      <c r="D54" s="8">
        <v>2.29</v>
      </c>
      <c r="E54" s="12">
        <v>1</v>
      </c>
      <c r="F54" s="8">
        <v>0.51</v>
      </c>
      <c r="G54" s="12">
        <v>7</v>
      </c>
      <c r="H54" s="8">
        <v>4.7</v>
      </c>
      <c r="I54" s="12">
        <v>0</v>
      </c>
    </row>
    <row r="55" spans="2:9" ht="15" customHeight="1" x14ac:dyDescent="0.2">
      <c r="B55" t="s">
        <v>188</v>
      </c>
      <c r="C55" s="12">
        <v>8</v>
      </c>
      <c r="D55" s="8">
        <v>2.29</v>
      </c>
      <c r="E55" s="12">
        <v>8</v>
      </c>
      <c r="F55" s="8">
        <v>4.0999999999999996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163</v>
      </c>
      <c r="C56" s="12">
        <v>8</v>
      </c>
      <c r="D56" s="8">
        <v>2.29</v>
      </c>
      <c r="E56" s="12">
        <v>5</v>
      </c>
      <c r="F56" s="8">
        <v>2.56</v>
      </c>
      <c r="G56" s="12">
        <v>3</v>
      </c>
      <c r="H56" s="8">
        <v>2.0099999999999998</v>
      </c>
      <c r="I56" s="12">
        <v>0</v>
      </c>
    </row>
    <row r="57" spans="2:9" ht="15" customHeight="1" x14ac:dyDescent="0.2">
      <c r="B57" t="s">
        <v>176</v>
      </c>
      <c r="C57" s="12">
        <v>8</v>
      </c>
      <c r="D57" s="8">
        <v>2.29</v>
      </c>
      <c r="E57" s="12">
        <v>6</v>
      </c>
      <c r="F57" s="8">
        <v>3.08</v>
      </c>
      <c r="G57" s="12">
        <v>2</v>
      </c>
      <c r="H57" s="8">
        <v>1.34</v>
      </c>
      <c r="I57" s="12">
        <v>0</v>
      </c>
    </row>
    <row r="58" spans="2:9" ht="15" customHeight="1" x14ac:dyDescent="0.2">
      <c r="B58" t="s">
        <v>158</v>
      </c>
      <c r="C58" s="12">
        <v>7</v>
      </c>
      <c r="D58" s="8">
        <v>2</v>
      </c>
      <c r="E58" s="12">
        <v>3</v>
      </c>
      <c r="F58" s="8">
        <v>1.54</v>
      </c>
      <c r="G58" s="12">
        <v>4</v>
      </c>
      <c r="H58" s="8">
        <v>2.68</v>
      </c>
      <c r="I58" s="12">
        <v>0</v>
      </c>
    </row>
    <row r="59" spans="2:9" ht="15" customHeight="1" x14ac:dyDescent="0.2">
      <c r="B59" t="s">
        <v>162</v>
      </c>
      <c r="C59" s="12">
        <v>7</v>
      </c>
      <c r="D59" s="8">
        <v>2</v>
      </c>
      <c r="E59" s="12">
        <v>5</v>
      </c>
      <c r="F59" s="8">
        <v>2.56</v>
      </c>
      <c r="G59" s="12">
        <v>2</v>
      </c>
      <c r="H59" s="8">
        <v>1.34</v>
      </c>
      <c r="I59" s="12">
        <v>0</v>
      </c>
    </row>
    <row r="60" spans="2:9" ht="15" customHeight="1" x14ac:dyDescent="0.2">
      <c r="B60" t="s">
        <v>192</v>
      </c>
      <c r="C60" s="12">
        <v>7</v>
      </c>
      <c r="D60" s="8">
        <v>2</v>
      </c>
      <c r="E60" s="12">
        <v>7</v>
      </c>
      <c r="F60" s="8">
        <v>3.59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216</v>
      </c>
      <c r="C61" s="12">
        <v>6</v>
      </c>
      <c r="D61" s="8">
        <v>1.71</v>
      </c>
      <c r="E61" s="12">
        <v>4</v>
      </c>
      <c r="F61" s="8">
        <v>2.0499999999999998</v>
      </c>
      <c r="G61" s="12">
        <v>2</v>
      </c>
      <c r="H61" s="8">
        <v>1.34</v>
      </c>
      <c r="I61" s="12">
        <v>0</v>
      </c>
    </row>
    <row r="62" spans="2:9" ht="15" customHeight="1" x14ac:dyDescent="0.2">
      <c r="B62" t="s">
        <v>180</v>
      </c>
      <c r="C62" s="12">
        <v>5</v>
      </c>
      <c r="D62" s="8">
        <v>1.43</v>
      </c>
      <c r="E62" s="12">
        <v>2</v>
      </c>
      <c r="F62" s="8">
        <v>1.03</v>
      </c>
      <c r="G62" s="12">
        <v>3</v>
      </c>
      <c r="H62" s="8">
        <v>2.0099999999999998</v>
      </c>
      <c r="I62" s="12">
        <v>0</v>
      </c>
    </row>
    <row r="63" spans="2:9" ht="15" customHeight="1" x14ac:dyDescent="0.2">
      <c r="B63" t="s">
        <v>234</v>
      </c>
      <c r="C63" s="12">
        <v>5</v>
      </c>
      <c r="D63" s="8">
        <v>1.43</v>
      </c>
      <c r="E63" s="12">
        <v>1</v>
      </c>
      <c r="F63" s="8">
        <v>0.51</v>
      </c>
      <c r="G63" s="12">
        <v>4</v>
      </c>
      <c r="H63" s="8">
        <v>2.68</v>
      </c>
      <c r="I63" s="12">
        <v>0</v>
      </c>
    </row>
    <row r="64" spans="2:9" ht="15" customHeight="1" x14ac:dyDescent="0.2">
      <c r="B64" t="s">
        <v>220</v>
      </c>
      <c r="C64" s="12">
        <v>5</v>
      </c>
      <c r="D64" s="8">
        <v>1.43</v>
      </c>
      <c r="E64" s="12">
        <v>3</v>
      </c>
      <c r="F64" s="8">
        <v>1.54</v>
      </c>
      <c r="G64" s="12">
        <v>2</v>
      </c>
      <c r="H64" s="8">
        <v>1.34</v>
      </c>
      <c r="I64" s="12">
        <v>0</v>
      </c>
    </row>
    <row r="65" spans="2:9" ht="15" customHeight="1" x14ac:dyDescent="0.2">
      <c r="B65" t="s">
        <v>185</v>
      </c>
      <c r="C65" s="12">
        <v>5</v>
      </c>
      <c r="D65" s="8">
        <v>1.43</v>
      </c>
      <c r="E65" s="12">
        <v>1</v>
      </c>
      <c r="F65" s="8">
        <v>0.51</v>
      </c>
      <c r="G65" s="12">
        <v>4</v>
      </c>
      <c r="H65" s="8">
        <v>2.68</v>
      </c>
      <c r="I65" s="12">
        <v>0</v>
      </c>
    </row>
    <row r="66" spans="2:9" ht="15" customHeight="1" x14ac:dyDescent="0.2">
      <c r="B66" t="s">
        <v>207</v>
      </c>
      <c r="C66" s="12">
        <v>5</v>
      </c>
      <c r="D66" s="8">
        <v>1.43</v>
      </c>
      <c r="E66" s="12">
        <v>4</v>
      </c>
      <c r="F66" s="8">
        <v>2.0499999999999998</v>
      </c>
      <c r="G66" s="12">
        <v>1</v>
      </c>
      <c r="H66" s="8">
        <v>0.67</v>
      </c>
      <c r="I66" s="12">
        <v>0</v>
      </c>
    </row>
    <row r="67" spans="2:9" ht="15" customHeight="1" x14ac:dyDescent="0.2">
      <c r="B67" t="s">
        <v>167</v>
      </c>
      <c r="C67" s="12">
        <v>5</v>
      </c>
      <c r="D67" s="8">
        <v>1.43</v>
      </c>
      <c r="E67" s="12">
        <v>0</v>
      </c>
      <c r="F67" s="8">
        <v>0</v>
      </c>
      <c r="G67" s="12">
        <v>5</v>
      </c>
      <c r="H67" s="8">
        <v>3.36</v>
      </c>
      <c r="I67" s="12">
        <v>0</v>
      </c>
    </row>
    <row r="68" spans="2:9" ht="15" customHeight="1" x14ac:dyDescent="0.2">
      <c r="B68" t="s">
        <v>170</v>
      </c>
      <c r="C68" s="12">
        <v>5</v>
      </c>
      <c r="D68" s="8">
        <v>1.43</v>
      </c>
      <c r="E68" s="12">
        <v>5</v>
      </c>
      <c r="F68" s="8">
        <v>2.56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173</v>
      </c>
      <c r="C69" s="12">
        <v>5</v>
      </c>
      <c r="D69" s="8">
        <v>1.43</v>
      </c>
      <c r="E69" s="12">
        <v>4</v>
      </c>
      <c r="F69" s="8">
        <v>2.0499999999999998</v>
      </c>
      <c r="G69" s="12">
        <v>1</v>
      </c>
      <c r="H69" s="8">
        <v>0.67</v>
      </c>
      <c r="I69" s="12">
        <v>0</v>
      </c>
    </row>
    <row r="70" spans="2:9" ht="15" customHeight="1" x14ac:dyDescent="0.2">
      <c r="B70" t="s">
        <v>174</v>
      </c>
      <c r="C70" s="12">
        <v>5</v>
      </c>
      <c r="D70" s="8">
        <v>1.43</v>
      </c>
      <c r="E70" s="12">
        <v>4</v>
      </c>
      <c r="F70" s="8">
        <v>2.0499999999999998</v>
      </c>
      <c r="G70" s="12">
        <v>1</v>
      </c>
      <c r="H70" s="8">
        <v>0.67</v>
      </c>
      <c r="I70" s="12">
        <v>0</v>
      </c>
    </row>
    <row r="71" spans="2:9" ht="15" customHeight="1" x14ac:dyDescent="0.2">
      <c r="B71" t="s">
        <v>175</v>
      </c>
      <c r="C71" s="12">
        <v>5</v>
      </c>
      <c r="D71" s="8">
        <v>1.43</v>
      </c>
      <c r="E71" s="12">
        <v>5</v>
      </c>
      <c r="F71" s="8">
        <v>2.56</v>
      </c>
      <c r="G71" s="12">
        <v>0</v>
      </c>
      <c r="H71" s="8">
        <v>0</v>
      </c>
      <c r="I71" s="12">
        <v>0</v>
      </c>
    </row>
    <row r="73" spans="2:9" ht="15" customHeight="1" x14ac:dyDescent="0.2">
      <c r="B73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29685-1884-443B-953A-2CB51332F4A5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334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1</v>
      </c>
      <c r="D5" s="8">
        <v>0.49</v>
      </c>
      <c r="E5" s="12">
        <v>0</v>
      </c>
      <c r="F5" s="8">
        <v>0</v>
      </c>
      <c r="G5" s="12">
        <v>1</v>
      </c>
      <c r="H5" s="8">
        <v>1.1599999999999999</v>
      </c>
      <c r="I5" s="12">
        <v>0</v>
      </c>
    </row>
    <row r="6" spans="2:9" ht="15" customHeight="1" x14ac:dyDescent="0.2">
      <c r="B6" t="s">
        <v>75</v>
      </c>
      <c r="C6" s="12">
        <v>43</v>
      </c>
      <c r="D6" s="8">
        <v>20.98</v>
      </c>
      <c r="E6" s="12">
        <v>15</v>
      </c>
      <c r="F6" s="8">
        <v>13.04</v>
      </c>
      <c r="G6" s="12">
        <v>28</v>
      </c>
      <c r="H6" s="8">
        <v>32.56</v>
      </c>
      <c r="I6" s="12">
        <v>0</v>
      </c>
    </row>
    <row r="7" spans="2:9" ht="15" customHeight="1" x14ac:dyDescent="0.2">
      <c r="B7" t="s">
        <v>76</v>
      </c>
      <c r="C7" s="12">
        <v>28</v>
      </c>
      <c r="D7" s="8">
        <v>13.66</v>
      </c>
      <c r="E7" s="12">
        <v>10</v>
      </c>
      <c r="F7" s="8">
        <v>8.6999999999999993</v>
      </c>
      <c r="G7" s="12">
        <v>18</v>
      </c>
      <c r="H7" s="8">
        <v>20.93</v>
      </c>
      <c r="I7" s="12">
        <v>0</v>
      </c>
    </row>
    <row r="8" spans="2:9" ht="15" customHeight="1" x14ac:dyDescent="0.2">
      <c r="B8" t="s">
        <v>77</v>
      </c>
      <c r="C8" s="12">
        <v>2</v>
      </c>
      <c r="D8" s="8">
        <v>0.98</v>
      </c>
      <c r="E8" s="12">
        <v>0</v>
      </c>
      <c r="F8" s="8">
        <v>0</v>
      </c>
      <c r="G8" s="12">
        <v>1</v>
      </c>
      <c r="H8" s="8">
        <v>1.1599999999999999</v>
      </c>
      <c r="I8" s="12">
        <v>0</v>
      </c>
    </row>
    <row r="9" spans="2:9" ht="15" customHeight="1" x14ac:dyDescent="0.2">
      <c r="B9" t="s">
        <v>78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79</v>
      </c>
      <c r="C10" s="12">
        <v>4</v>
      </c>
      <c r="D10" s="8">
        <v>1.95</v>
      </c>
      <c r="E10" s="12">
        <v>0</v>
      </c>
      <c r="F10" s="8">
        <v>0</v>
      </c>
      <c r="G10" s="12">
        <v>4</v>
      </c>
      <c r="H10" s="8">
        <v>4.6500000000000004</v>
      </c>
      <c r="I10" s="12">
        <v>0</v>
      </c>
    </row>
    <row r="11" spans="2:9" ht="15" customHeight="1" x14ac:dyDescent="0.2">
      <c r="B11" t="s">
        <v>80</v>
      </c>
      <c r="C11" s="12">
        <v>26</v>
      </c>
      <c r="D11" s="8">
        <v>12.68</v>
      </c>
      <c r="E11" s="12">
        <v>14</v>
      </c>
      <c r="F11" s="8">
        <v>12.17</v>
      </c>
      <c r="G11" s="12">
        <v>12</v>
      </c>
      <c r="H11" s="8">
        <v>13.95</v>
      </c>
      <c r="I11" s="12">
        <v>0</v>
      </c>
    </row>
    <row r="12" spans="2:9" ht="15" customHeight="1" x14ac:dyDescent="0.2">
      <c r="B12" t="s">
        <v>81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82</v>
      </c>
      <c r="C13" s="12">
        <v>30</v>
      </c>
      <c r="D13" s="8">
        <v>14.63</v>
      </c>
      <c r="E13" s="12">
        <v>23</v>
      </c>
      <c r="F13" s="8">
        <v>20</v>
      </c>
      <c r="G13" s="12">
        <v>7</v>
      </c>
      <c r="H13" s="8">
        <v>8.14</v>
      </c>
      <c r="I13" s="12">
        <v>0</v>
      </c>
    </row>
    <row r="14" spans="2:9" ht="15" customHeight="1" x14ac:dyDescent="0.2">
      <c r="B14" t="s">
        <v>83</v>
      </c>
      <c r="C14" s="12">
        <v>6</v>
      </c>
      <c r="D14" s="8">
        <v>2.93</v>
      </c>
      <c r="E14" s="12">
        <v>3</v>
      </c>
      <c r="F14" s="8">
        <v>2.61</v>
      </c>
      <c r="G14" s="12">
        <v>3</v>
      </c>
      <c r="H14" s="8">
        <v>3.49</v>
      </c>
      <c r="I14" s="12">
        <v>0</v>
      </c>
    </row>
    <row r="15" spans="2:9" ht="15" customHeight="1" x14ac:dyDescent="0.2">
      <c r="B15" t="s">
        <v>84</v>
      </c>
      <c r="C15" s="12">
        <v>23</v>
      </c>
      <c r="D15" s="8">
        <v>11.22</v>
      </c>
      <c r="E15" s="12">
        <v>20</v>
      </c>
      <c r="F15" s="8">
        <v>17.39</v>
      </c>
      <c r="G15" s="12">
        <v>2</v>
      </c>
      <c r="H15" s="8">
        <v>2.33</v>
      </c>
      <c r="I15" s="12">
        <v>0</v>
      </c>
    </row>
    <row r="16" spans="2:9" ht="15" customHeight="1" x14ac:dyDescent="0.2">
      <c r="B16" t="s">
        <v>85</v>
      </c>
      <c r="C16" s="12">
        <v>23</v>
      </c>
      <c r="D16" s="8">
        <v>11.22</v>
      </c>
      <c r="E16" s="12">
        <v>18</v>
      </c>
      <c r="F16" s="8">
        <v>15.65</v>
      </c>
      <c r="G16" s="12">
        <v>5</v>
      </c>
      <c r="H16" s="8">
        <v>5.81</v>
      </c>
      <c r="I16" s="12">
        <v>0</v>
      </c>
    </row>
    <row r="17" spans="2:9" ht="15" customHeight="1" x14ac:dyDescent="0.2">
      <c r="B17" t="s">
        <v>86</v>
      </c>
      <c r="C17" s="12">
        <v>3</v>
      </c>
      <c r="D17" s="8">
        <v>1.46</v>
      </c>
      <c r="E17" s="12">
        <v>1</v>
      </c>
      <c r="F17" s="8">
        <v>0.87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87</v>
      </c>
      <c r="C18" s="12">
        <v>8</v>
      </c>
      <c r="D18" s="8">
        <v>3.9</v>
      </c>
      <c r="E18" s="12">
        <v>6</v>
      </c>
      <c r="F18" s="8">
        <v>5.22</v>
      </c>
      <c r="G18" s="12">
        <v>2</v>
      </c>
      <c r="H18" s="8">
        <v>2.33</v>
      </c>
      <c r="I18" s="12">
        <v>0</v>
      </c>
    </row>
    <row r="19" spans="2:9" ht="15" customHeight="1" x14ac:dyDescent="0.2">
      <c r="B19" t="s">
        <v>88</v>
      </c>
      <c r="C19" s="12">
        <v>8</v>
      </c>
      <c r="D19" s="8">
        <v>3.9</v>
      </c>
      <c r="E19" s="12">
        <v>5</v>
      </c>
      <c r="F19" s="8">
        <v>4.3499999999999996</v>
      </c>
      <c r="G19" s="12">
        <v>3</v>
      </c>
      <c r="H19" s="8">
        <v>3.49</v>
      </c>
      <c r="I19" s="12">
        <v>0</v>
      </c>
    </row>
    <row r="20" spans="2:9" ht="15" customHeight="1" x14ac:dyDescent="0.2">
      <c r="B20" s="9" t="s">
        <v>269</v>
      </c>
      <c r="C20" s="12">
        <f>SUM(LTBL_11361[総数／事業所数])</f>
        <v>205</v>
      </c>
      <c r="E20" s="12">
        <f>SUBTOTAL(109,LTBL_11361[個人／事業所数])</f>
        <v>115</v>
      </c>
      <c r="G20" s="12">
        <f>SUBTOTAL(109,LTBL_11361[法人／事業所数])</f>
        <v>86</v>
      </c>
      <c r="I20" s="12">
        <f>SUBTOTAL(109,LTBL_11361[法人以外の団体／事業所数])</f>
        <v>0</v>
      </c>
    </row>
    <row r="21" spans="2:9" ht="15" customHeight="1" x14ac:dyDescent="0.2">
      <c r="E21" s="11">
        <f>LTBL_11361[[#Totals],[個人／事業所数]]/LTBL_11361[[#Totals],[総数／事業所数]]</f>
        <v>0.56097560975609762</v>
      </c>
      <c r="G21" s="11">
        <f>LTBL_11361[[#Totals],[法人／事業所数]]/LTBL_11361[[#Totals],[総数／事業所数]]</f>
        <v>0.4195121951219512</v>
      </c>
      <c r="I21" s="11">
        <f>LTBL_11361[[#Totals],[法人以外の団体／事業所数]]/LTBL_11361[[#Totals],[総数／事業所数]]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108</v>
      </c>
      <c r="C24" s="12">
        <v>29</v>
      </c>
      <c r="D24" s="8">
        <v>14.15</v>
      </c>
      <c r="E24" s="12">
        <v>23</v>
      </c>
      <c r="F24" s="8">
        <v>20</v>
      </c>
      <c r="G24" s="12">
        <v>6</v>
      </c>
      <c r="H24" s="8">
        <v>6.98</v>
      </c>
      <c r="I24" s="12">
        <v>0</v>
      </c>
    </row>
    <row r="25" spans="2:9" ht="15" customHeight="1" x14ac:dyDescent="0.2">
      <c r="B25" t="s">
        <v>111</v>
      </c>
      <c r="C25" s="12">
        <v>18</v>
      </c>
      <c r="D25" s="8">
        <v>8.7799999999999994</v>
      </c>
      <c r="E25" s="12">
        <v>16</v>
      </c>
      <c r="F25" s="8">
        <v>13.91</v>
      </c>
      <c r="G25" s="12">
        <v>2</v>
      </c>
      <c r="H25" s="8">
        <v>2.33</v>
      </c>
      <c r="I25" s="12">
        <v>0</v>
      </c>
    </row>
    <row r="26" spans="2:9" ht="15" customHeight="1" x14ac:dyDescent="0.2">
      <c r="B26" t="s">
        <v>112</v>
      </c>
      <c r="C26" s="12">
        <v>18</v>
      </c>
      <c r="D26" s="8">
        <v>8.7799999999999994</v>
      </c>
      <c r="E26" s="12">
        <v>15</v>
      </c>
      <c r="F26" s="8">
        <v>13.04</v>
      </c>
      <c r="G26" s="12">
        <v>3</v>
      </c>
      <c r="H26" s="8">
        <v>3.49</v>
      </c>
      <c r="I26" s="12">
        <v>0</v>
      </c>
    </row>
    <row r="27" spans="2:9" ht="15" customHeight="1" x14ac:dyDescent="0.2">
      <c r="B27" t="s">
        <v>97</v>
      </c>
      <c r="C27" s="12">
        <v>17</v>
      </c>
      <c r="D27" s="8">
        <v>8.2899999999999991</v>
      </c>
      <c r="E27" s="12">
        <v>3</v>
      </c>
      <c r="F27" s="8">
        <v>2.61</v>
      </c>
      <c r="G27" s="12">
        <v>14</v>
      </c>
      <c r="H27" s="8">
        <v>16.28</v>
      </c>
      <c r="I27" s="12">
        <v>0</v>
      </c>
    </row>
    <row r="28" spans="2:9" ht="15" customHeight="1" x14ac:dyDescent="0.2">
      <c r="B28" t="s">
        <v>98</v>
      </c>
      <c r="C28" s="12">
        <v>17</v>
      </c>
      <c r="D28" s="8">
        <v>8.2899999999999991</v>
      </c>
      <c r="E28" s="12">
        <v>11</v>
      </c>
      <c r="F28" s="8">
        <v>9.57</v>
      </c>
      <c r="G28" s="12">
        <v>6</v>
      </c>
      <c r="H28" s="8">
        <v>6.98</v>
      </c>
      <c r="I28" s="12">
        <v>0</v>
      </c>
    </row>
    <row r="29" spans="2:9" ht="15" customHeight="1" x14ac:dyDescent="0.2">
      <c r="B29" t="s">
        <v>106</v>
      </c>
      <c r="C29" s="12">
        <v>12</v>
      </c>
      <c r="D29" s="8">
        <v>5.85</v>
      </c>
      <c r="E29" s="12">
        <v>7</v>
      </c>
      <c r="F29" s="8">
        <v>6.09</v>
      </c>
      <c r="G29" s="12">
        <v>5</v>
      </c>
      <c r="H29" s="8">
        <v>5.81</v>
      </c>
      <c r="I29" s="12">
        <v>0</v>
      </c>
    </row>
    <row r="30" spans="2:9" ht="15" customHeight="1" x14ac:dyDescent="0.2">
      <c r="B30" t="s">
        <v>99</v>
      </c>
      <c r="C30" s="12">
        <v>9</v>
      </c>
      <c r="D30" s="8">
        <v>4.3899999999999997</v>
      </c>
      <c r="E30" s="12">
        <v>1</v>
      </c>
      <c r="F30" s="8">
        <v>0.87</v>
      </c>
      <c r="G30" s="12">
        <v>8</v>
      </c>
      <c r="H30" s="8">
        <v>9.3000000000000007</v>
      </c>
      <c r="I30" s="12">
        <v>0</v>
      </c>
    </row>
    <row r="31" spans="2:9" ht="15" customHeight="1" x14ac:dyDescent="0.2">
      <c r="B31" t="s">
        <v>115</v>
      </c>
      <c r="C31" s="12">
        <v>6</v>
      </c>
      <c r="D31" s="8">
        <v>2.93</v>
      </c>
      <c r="E31" s="12">
        <v>6</v>
      </c>
      <c r="F31" s="8">
        <v>5.22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116</v>
      </c>
      <c r="C32" s="12">
        <v>6</v>
      </c>
      <c r="D32" s="8">
        <v>2.93</v>
      </c>
      <c r="E32" s="12">
        <v>4</v>
      </c>
      <c r="F32" s="8">
        <v>3.48</v>
      </c>
      <c r="G32" s="12">
        <v>2</v>
      </c>
      <c r="H32" s="8">
        <v>2.33</v>
      </c>
      <c r="I32" s="12">
        <v>0</v>
      </c>
    </row>
    <row r="33" spans="2:9" ht="15" customHeight="1" x14ac:dyDescent="0.2">
      <c r="B33" t="s">
        <v>104</v>
      </c>
      <c r="C33" s="12">
        <v>4</v>
      </c>
      <c r="D33" s="8">
        <v>1.95</v>
      </c>
      <c r="E33" s="12">
        <v>2</v>
      </c>
      <c r="F33" s="8">
        <v>1.74</v>
      </c>
      <c r="G33" s="12">
        <v>2</v>
      </c>
      <c r="H33" s="8">
        <v>2.33</v>
      </c>
      <c r="I33" s="12">
        <v>0</v>
      </c>
    </row>
    <row r="34" spans="2:9" ht="15" customHeight="1" x14ac:dyDescent="0.2">
      <c r="B34" t="s">
        <v>142</v>
      </c>
      <c r="C34" s="12">
        <v>4</v>
      </c>
      <c r="D34" s="8">
        <v>1.95</v>
      </c>
      <c r="E34" s="12">
        <v>4</v>
      </c>
      <c r="F34" s="8">
        <v>3.48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113</v>
      </c>
      <c r="C35" s="12">
        <v>4</v>
      </c>
      <c r="D35" s="8">
        <v>1.95</v>
      </c>
      <c r="E35" s="12">
        <v>3</v>
      </c>
      <c r="F35" s="8">
        <v>2.61</v>
      </c>
      <c r="G35" s="12">
        <v>1</v>
      </c>
      <c r="H35" s="8">
        <v>1.1599999999999999</v>
      </c>
      <c r="I35" s="12">
        <v>0</v>
      </c>
    </row>
    <row r="36" spans="2:9" ht="15" customHeight="1" x14ac:dyDescent="0.2">
      <c r="B36" t="s">
        <v>139</v>
      </c>
      <c r="C36" s="12">
        <v>3</v>
      </c>
      <c r="D36" s="8">
        <v>1.46</v>
      </c>
      <c r="E36" s="12">
        <v>1</v>
      </c>
      <c r="F36" s="8">
        <v>0.87</v>
      </c>
      <c r="G36" s="12">
        <v>2</v>
      </c>
      <c r="H36" s="8">
        <v>2.33</v>
      </c>
      <c r="I36" s="12">
        <v>0</v>
      </c>
    </row>
    <row r="37" spans="2:9" ht="15" customHeight="1" x14ac:dyDescent="0.2">
      <c r="B37" t="s">
        <v>127</v>
      </c>
      <c r="C37" s="12">
        <v>3</v>
      </c>
      <c r="D37" s="8">
        <v>1.46</v>
      </c>
      <c r="E37" s="12">
        <v>0</v>
      </c>
      <c r="F37" s="8">
        <v>0</v>
      </c>
      <c r="G37" s="12">
        <v>3</v>
      </c>
      <c r="H37" s="8">
        <v>3.49</v>
      </c>
      <c r="I37" s="12">
        <v>0</v>
      </c>
    </row>
    <row r="38" spans="2:9" ht="15" customHeight="1" x14ac:dyDescent="0.2">
      <c r="B38" t="s">
        <v>129</v>
      </c>
      <c r="C38" s="12">
        <v>3</v>
      </c>
      <c r="D38" s="8">
        <v>1.46</v>
      </c>
      <c r="E38" s="12">
        <v>1</v>
      </c>
      <c r="F38" s="8">
        <v>0.87</v>
      </c>
      <c r="G38" s="12">
        <v>2</v>
      </c>
      <c r="H38" s="8">
        <v>2.33</v>
      </c>
      <c r="I38" s="12">
        <v>0</v>
      </c>
    </row>
    <row r="39" spans="2:9" ht="15" customHeight="1" x14ac:dyDescent="0.2">
      <c r="B39" t="s">
        <v>125</v>
      </c>
      <c r="C39" s="12">
        <v>3</v>
      </c>
      <c r="D39" s="8">
        <v>1.46</v>
      </c>
      <c r="E39" s="12">
        <v>1</v>
      </c>
      <c r="F39" s="8">
        <v>0.87</v>
      </c>
      <c r="G39" s="12">
        <v>2</v>
      </c>
      <c r="H39" s="8">
        <v>2.33</v>
      </c>
      <c r="I39" s="12">
        <v>0</v>
      </c>
    </row>
    <row r="40" spans="2:9" ht="15" customHeight="1" x14ac:dyDescent="0.2">
      <c r="B40" t="s">
        <v>141</v>
      </c>
      <c r="C40" s="12">
        <v>3</v>
      </c>
      <c r="D40" s="8">
        <v>1.46</v>
      </c>
      <c r="E40" s="12">
        <v>0</v>
      </c>
      <c r="F40" s="8">
        <v>0</v>
      </c>
      <c r="G40" s="12">
        <v>3</v>
      </c>
      <c r="H40" s="8">
        <v>3.49</v>
      </c>
      <c r="I40" s="12">
        <v>0</v>
      </c>
    </row>
    <row r="41" spans="2:9" ht="15" customHeight="1" x14ac:dyDescent="0.2">
      <c r="B41" t="s">
        <v>103</v>
      </c>
      <c r="C41" s="12">
        <v>3</v>
      </c>
      <c r="D41" s="8">
        <v>1.46</v>
      </c>
      <c r="E41" s="12">
        <v>3</v>
      </c>
      <c r="F41" s="8">
        <v>2.61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105</v>
      </c>
      <c r="C42" s="12">
        <v>3</v>
      </c>
      <c r="D42" s="8">
        <v>1.46</v>
      </c>
      <c r="E42" s="12">
        <v>2</v>
      </c>
      <c r="F42" s="8">
        <v>1.74</v>
      </c>
      <c r="G42" s="12">
        <v>1</v>
      </c>
      <c r="H42" s="8">
        <v>1.1599999999999999</v>
      </c>
      <c r="I42" s="12">
        <v>0</v>
      </c>
    </row>
    <row r="43" spans="2:9" ht="15" customHeight="1" x14ac:dyDescent="0.2">
      <c r="B43" t="s">
        <v>110</v>
      </c>
      <c r="C43" s="12">
        <v>3</v>
      </c>
      <c r="D43" s="8">
        <v>1.46</v>
      </c>
      <c r="E43" s="12">
        <v>2</v>
      </c>
      <c r="F43" s="8">
        <v>1.74</v>
      </c>
      <c r="G43" s="12">
        <v>1</v>
      </c>
      <c r="H43" s="8">
        <v>1.1599999999999999</v>
      </c>
      <c r="I43" s="12">
        <v>0</v>
      </c>
    </row>
    <row r="44" spans="2:9" ht="15" customHeight="1" x14ac:dyDescent="0.2">
      <c r="B44" t="s">
        <v>114</v>
      </c>
      <c r="C44" s="12">
        <v>3</v>
      </c>
      <c r="D44" s="8">
        <v>1.46</v>
      </c>
      <c r="E44" s="12">
        <v>1</v>
      </c>
      <c r="F44" s="8">
        <v>0.87</v>
      </c>
      <c r="G44" s="12">
        <v>0</v>
      </c>
      <c r="H44" s="8">
        <v>0</v>
      </c>
      <c r="I44" s="12">
        <v>0</v>
      </c>
    </row>
    <row r="47" spans="2:9" ht="33" customHeight="1" x14ac:dyDescent="0.2">
      <c r="B47" t="s">
        <v>271</v>
      </c>
      <c r="C47" s="10" t="s">
        <v>90</v>
      </c>
      <c r="D47" s="10" t="s">
        <v>91</v>
      </c>
      <c r="E47" s="10" t="s">
        <v>92</v>
      </c>
      <c r="F47" s="10" t="s">
        <v>93</v>
      </c>
      <c r="G47" s="10" t="s">
        <v>94</v>
      </c>
      <c r="H47" s="10" t="s">
        <v>95</v>
      </c>
      <c r="I47" s="10" t="s">
        <v>96</v>
      </c>
    </row>
    <row r="48" spans="2:9" ht="15" customHeight="1" x14ac:dyDescent="0.2">
      <c r="B48" t="s">
        <v>167</v>
      </c>
      <c r="C48" s="12">
        <v>20</v>
      </c>
      <c r="D48" s="8">
        <v>9.76</v>
      </c>
      <c r="E48" s="12">
        <v>18</v>
      </c>
      <c r="F48" s="8">
        <v>15.65</v>
      </c>
      <c r="G48" s="12">
        <v>2</v>
      </c>
      <c r="H48" s="8">
        <v>2.33</v>
      </c>
      <c r="I48" s="12">
        <v>0</v>
      </c>
    </row>
    <row r="49" spans="2:9" ht="15" customHeight="1" x14ac:dyDescent="0.2">
      <c r="B49" t="s">
        <v>157</v>
      </c>
      <c r="C49" s="12">
        <v>12</v>
      </c>
      <c r="D49" s="8">
        <v>5.85</v>
      </c>
      <c r="E49" s="12">
        <v>2</v>
      </c>
      <c r="F49" s="8">
        <v>1.74</v>
      </c>
      <c r="G49" s="12">
        <v>10</v>
      </c>
      <c r="H49" s="8">
        <v>11.63</v>
      </c>
      <c r="I49" s="12">
        <v>0</v>
      </c>
    </row>
    <row r="50" spans="2:9" ht="15" customHeight="1" x14ac:dyDescent="0.2">
      <c r="B50" t="s">
        <v>173</v>
      </c>
      <c r="C50" s="12">
        <v>11</v>
      </c>
      <c r="D50" s="8">
        <v>5.37</v>
      </c>
      <c r="E50" s="12">
        <v>10</v>
      </c>
      <c r="F50" s="8">
        <v>8.6999999999999993</v>
      </c>
      <c r="G50" s="12">
        <v>1</v>
      </c>
      <c r="H50" s="8">
        <v>1.1599999999999999</v>
      </c>
      <c r="I50" s="12">
        <v>0</v>
      </c>
    </row>
    <row r="51" spans="2:9" ht="15" customHeight="1" x14ac:dyDescent="0.2">
      <c r="B51" t="s">
        <v>169</v>
      </c>
      <c r="C51" s="12">
        <v>9</v>
      </c>
      <c r="D51" s="8">
        <v>4.3899999999999997</v>
      </c>
      <c r="E51" s="12">
        <v>7</v>
      </c>
      <c r="F51" s="8">
        <v>6.09</v>
      </c>
      <c r="G51" s="12">
        <v>2</v>
      </c>
      <c r="H51" s="8">
        <v>2.33</v>
      </c>
      <c r="I51" s="12">
        <v>0</v>
      </c>
    </row>
    <row r="52" spans="2:9" ht="15" customHeight="1" x14ac:dyDescent="0.2">
      <c r="B52" t="s">
        <v>160</v>
      </c>
      <c r="C52" s="12">
        <v>6</v>
      </c>
      <c r="D52" s="8">
        <v>2.93</v>
      </c>
      <c r="E52" s="12">
        <v>1</v>
      </c>
      <c r="F52" s="8">
        <v>0.87</v>
      </c>
      <c r="G52" s="12">
        <v>5</v>
      </c>
      <c r="H52" s="8">
        <v>5.81</v>
      </c>
      <c r="I52" s="12">
        <v>0</v>
      </c>
    </row>
    <row r="53" spans="2:9" ht="15" customHeight="1" x14ac:dyDescent="0.2">
      <c r="B53" t="s">
        <v>175</v>
      </c>
      <c r="C53" s="12">
        <v>6</v>
      </c>
      <c r="D53" s="8">
        <v>2.93</v>
      </c>
      <c r="E53" s="12">
        <v>6</v>
      </c>
      <c r="F53" s="8">
        <v>5.22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176</v>
      </c>
      <c r="C54" s="12">
        <v>6</v>
      </c>
      <c r="D54" s="8">
        <v>2.93</v>
      </c>
      <c r="E54" s="12">
        <v>4</v>
      </c>
      <c r="F54" s="8">
        <v>3.48</v>
      </c>
      <c r="G54" s="12">
        <v>2</v>
      </c>
      <c r="H54" s="8">
        <v>2.33</v>
      </c>
      <c r="I54" s="12">
        <v>0</v>
      </c>
    </row>
    <row r="55" spans="2:9" ht="15" customHeight="1" x14ac:dyDescent="0.2">
      <c r="B55" t="s">
        <v>164</v>
      </c>
      <c r="C55" s="12">
        <v>5</v>
      </c>
      <c r="D55" s="8">
        <v>2.44</v>
      </c>
      <c r="E55" s="12">
        <v>4</v>
      </c>
      <c r="F55" s="8">
        <v>3.48</v>
      </c>
      <c r="G55" s="12">
        <v>1</v>
      </c>
      <c r="H55" s="8">
        <v>1.1599999999999999</v>
      </c>
      <c r="I55" s="12">
        <v>0</v>
      </c>
    </row>
    <row r="56" spans="2:9" ht="15" customHeight="1" x14ac:dyDescent="0.2">
      <c r="B56" t="s">
        <v>189</v>
      </c>
      <c r="C56" s="12">
        <v>5</v>
      </c>
      <c r="D56" s="8">
        <v>2.44</v>
      </c>
      <c r="E56" s="12">
        <v>5</v>
      </c>
      <c r="F56" s="8">
        <v>4.3499999999999996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159</v>
      </c>
      <c r="C57" s="12">
        <v>4</v>
      </c>
      <c r="D57" s="8">
        <v>1.95</v>
      </c>
      <c r="E57" s="12">
        <v>1</v>
      </c>
      <c r="F57" s="8">
        <v>0.87</v>
      </c>
      <c r="G57" s="12">
        <v>3</v>
      </c>
      <c r="H57" s="8">
        <v>3.49</v>
      </c>
      <c r="I57" s="12">
        <v>0</v>
      </c>
    </row>
    <row r="58" spans="2:9" ht="15" customHeight="1" x14ac:dyDescent="0.2">
      <c r="B58" t="s">
        <v>216</v>
      </c>
      <c r="C58" s="12">
        <v>4</v>
      </c>
      <c r="D58" s="8">
        <v>1.95</v>
      </c>
      <c r="E58" s="12">
        <v>4</v>
      </c>
      <c r="F58" s="8">
        <v>3.48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166</v>
      </c>
      <c r="C59" s="12">
        <v>4</v>
      </c>
      <c r="D59" s="8">
        <v>1.95</v>
      </c>
      <c r="E59" s="12">
        <v>0</v>
      </c>
      <c r="F59" s="8">
        <v>0</v>
      </c>
      <c r="G59" s="12">
        <v>4</v>
      </c>
      <c r="H59" s="8">
        <v>4.6500000000000004</v>
      </c>
      <c r="I59" s="12">
        <v>0</v>
      </c>
    </row>
    <row r="60" spans="2:9" ht="15" customHeight="1" x14ac:dyDescent="0.2">
      <c r="B60" t="s">
        <v>172</v>
      </c>
      <c r="C60" s="12">
        <v>4</v>
      </c>
      <c r="D60" s="8">
        <v>1.95</v>
      </c>
      <c r="E60" s="12">
        <v>4</v>
      </c>
      <c r="F60" s="8">
        <v>3.48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180</v>
      </c>
      <c r="C61" s="12">
        <v>3</v>
      </c>
      <c r="D61" s="8">
        <v>1.46</v>
      </c>
      <c r="E61" s="12">
        <v>0</v>
      </c>
      <c r="F61" s="8">
        <v>0</v>
      </c>
      <c r="G61" s="12">
        <v>3</v>
      </c>
      <c r="H61" s="8">
        <v>3.49</v>
      </c>
      <c r="I61" s="12">
        <v>0</v>
      </c>
    </row>
    <row r="62" spans="2:9" ht="15" customHeight="1" x14ac:dyDescent="0.2">
      <c r="B62" t="s">
        <v>230</v>
      </c>
      <c r="C62" s="12">
        <v>3</v>
      </c>
      <c r="D62" s="8">
        <v>1.46</v>
      </c>
      <c r="E62" s="12">
        <v>1</v>
      </c>
      <c r="F62" s="8">
        <v>0.87</v>
      </c>
      <c r="G62" s="12">
        <v>2</v>
      </c>
      <c r="H62" s="8">
        <v>2.33</v>
      </c>
      <c r="I62" s="12">
        <v>0</v>
      </c>
    </row>
    <row r="63" spans="2:9" ht="15" customHeight="1" x14ac:dyDescent="0.2">
      <c r="B63" t="s">
        <v>235</v>
      </c>
      <c r="C63" s="12">
        <v>3</v>
      </c>
      <c r="D63" s="8">
        <v>1.46</v>
      </c>
      <c r="E63" s="12">
        <v>0</v>
      </c>
      <c r="F63" s="8">
        <v>0</v>
      </c>
      <c r="G63" s="12">
        <v>3</v>
      </c>
      <c r="H63" s="8">
        <v>3.49</v>
      </c>
      <c r="I63" s="12">
        <v>0</v>
      </c>
    </row>
    <row r="64" spans="2:9" ht="15" customHeight="1" x14ac:dyDescent="0.2">
      <c r="B64" t="s">
        <v>225</v>
      </c>
      <c r="C64" s="12">
        <v>3</v>
      </c>
      <c r="D64" s="8">
        <v>1.46</v>
      </c>
      <c r="E64" s="12">
        <v>2</v>
      </c>
      <c r="F64" s="8">
        <v>1.74</v>
      </c>
      <c r="G64" s="12">
        <v>1</v>
      </c>
      <c r="H64" s="8">
        <v>1.1599999999999999</v>
      </c>
      <c r="I64" s="12">
        <v>0</v>
      </c>
    </row>
    <row r="65" spans="2:9" ht="15" customHeight="1" x14ac:dyDescent="0.2">
      <c r="B65" t="s">
        <v>178</v>
      </c>
      <c r="C65" s="12">
        <v>3</v>
      </c>
      <c r="D65" s="8">
        <v>1.46</v>
      </c>
      <c r="E65" s="12">
        <v>2</v>
      </c>
      <c r="F65" s="8">
        <v>1.74</v>
      </c>
      <c r="G65" s="12">
        <v>1</v>
      </c>
      <c r="H65" s="8">
        <v>1.1599999999999999</v>
      </c>
      <c r="I65" s="12">
        <v>0</v>
      </c>
    </row>
    <row r="66" spans="2:9" ht="15" customHeight="1" x14ac:dyDescent="0.2">
      <c r="B66" t="s">
        <v>206</v>
      </c>
      <c r="C66" s="12">
        <v>3</v>
      </c>
      <c r="D66" s="8">
        <v>1.46</v>
      </c>
      <c r="E66" s="12">
        <v>3</v>
      </c>
      <c r="F66" s="8">
        <v>2.61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192</v>
      </c>
      <c r="C67" s="12">
        <v>3</v>
      </c>
      <c r="D67" s="8">
        <v>1.46</v>
      </c>
      <c r="E67" s="12">
        <v>3</v>
      </c>
      <c r="F67" s="8">
        <v>2.61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171</v>
      </c>
      <c r="C68" s="12">
        <v>3</v>
      </c>
      <c r="D68" s="8">
        <v>1.46</v>
      </c>
      <c r="E68" s="12">
        <v>1</v>
      </c>
      <c r="F68" s="8">
        <v>0.87</v>
      </c>
      <c r="G68" s="12">
        <v>2</v>
      </c>
      <c r="H68" s="8">
        <v>2.33</v>
      </c>
      <c r="I68" s="12">
        <v>0</v>
      </c>
    </row>
    <row r="70" spans="2:9" ht="15" customHeight="1" x14ac:dyDescent="0.2">
      <c r="B70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B4D5B-6796-4D70-BB6D-CE588D0A7E7A}">
  <sheetPr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335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58</v>
      </c>
      <c r="D6" s="8">
        <v>19.66</v>
      </c>
      <c r="E6" s="12">
        <v>29</v>
      </c>
      <c r="F6" s="8">
        <v>15.68</v>
      </c>
      <c r="G6" s="12">
        <v>29</v>
      </c>
      <c r="H6" s="8">
        <v>27.36</v>
      </c>
      <c r="I6" s="12">
        <v>0</v>
      </c>
    </row>
    <row r="7" spans="2:9" ht="15" customHeight="1" x14ac:dyDescent="0.2">
      <c r="B7" t="s">
        <v>76</v>
      </c>
      <c r="C7" s="12">
        <v>30</v>
      </c>
      <c r="D7" s="8">
        <v>10.17</v>
      </c>
      <c r="E7" s="12">
        <v>11</v>
      </c>
      <c r="F7" s="8">
        <v>5.95</v>
      </c>
      <c r="G7" s="12">
        <v>19</v>
      </c>
      <c r="H7" s="8">
        <v>17.920000000000002</v>
      </c>
      <c r="I7" s="12">
        <v>0</v>
      </c>
    </row>
    <row r="8" spans="2:9" ht="15" customHeight="1" x14ac:dyDescent="0.2">
      <c r="B8" t="s">
        <v>77</v>
      </c>
      <c r="C8" s="12">
        <v>3</v>
      </c>
      <c r="D8" s="8">
        <v>1.02</v>
      </c>
      <c r="E8" s="12">
        <v>0</v>
      </c>
      <c r="F8" s="8">
        <v>0</v>
      </c>
      <c r="G8" s="12">
        <v>3</v>
      </c>
      <c r="H8" s="8">
        <v>2.83</v>
      </c>
      <c r="I8" s="12">
        <v>0</v>
      </c>
    </row>
    <row r="9" spans="2:9" ht="15" customHeight="1" x14ac:dyDescent="0.2">
      <c r="B9" t="s">
        <v>78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79</v>
      </c>
      <c r="C10" s="12">
        <v>4</v>
      </c>
      <c r="D10" s="8">
        <v>1.36</v>
      </c>
      <c r="E10" s="12">
        <v>0</v>
      </c>
      <c r="F10" s="8">
        <v>0</v>
      </c>
      <c r="G10" s="12">
        <v>3</v>
      </c>
      <c r="H10" s="8">
        <v>2.83</v>
      </c>
      <c r="I10" s="12">
        <v>0</v>
      </c>
    </row>
    <row r="11" spans="2:9" ht="15" customHeight="1" x14ac:dyDescent="0.2">
      <c r="B11" t="s">
        <v>80</v>
      </c>
      <c r="C11" s="12">
        <v>74</v>
      </c>
      <c r="D11" s="8">
        <v>25.08</v>
      </c>
      <c r="E11" s="12">
        <v>57</v>
      </c>
      <c r="F11" s="8">
        <v>30.81</v>
      </c>
      <c r="G11" s="12">
        <v>17</v>
      </c>
      <c r="H11" s="8">
        <v>16.04</v>
      </c>
      <c r="I11" s="12">
        <v>0</v>
      </c>
    </row>
    <row r="12" spans="2:9" ht="15" customHeight="1" x14ac:dyDescent="0.2">
      <c r="B12" t="s">
        <v>81</v>
      </c>
      <c r="C12" s="12">
        <v>1</v>
      </c>
      <c r="D12" s="8">
        <v>0.34</v>
      </c>
      <c r="E12" s="12">
        <v>0</v>
      </c>
      <c r="F12" s="8">
        <v>0</v>
      </c>
      <c r="G12" s="12">
        <v>1</v>
      </c>
      <c r="H12" s="8">
        <v>0.94</v>
      </c>
      <c r="I12" s="12">
        <v>0</v>
      </c>
    </row>
    <row r="13" spans="2:9" ht="15" customHeight="1" x14ac:dyDescent="0.2">
      <c r="B13" t="s">
        <v>82</v>
      </c>
      <c r="C13" s="12">
        <v>9</v>
      </c>
      <c r="D13" s="8">
        <v>3.05</v>
      </c>
      <c r="E13" s="12">
        <v>2</v>
      </c>
      <c r="F13" s="8">
        <v>1.08</v>
      </c>
      <c r="G13" s="12">
        <v>7</v>
      </c>
      <c r="H13" s="8">
        <v>6.6</v>
      </c>
      <c r="I13" s="12">
        <v>0</v>
      </c>
    </row>
    <row r="14" spans="2:9" ht="15" customHeight="1" x14ac:dyDescent="0.2">
      <c r="B14" t="s">
        <v>83</v>
      </c>
      <c r="C14" s="12">
        <v>10</v>
      </c>
      <c r="D14" s="8">
        <v>3.39</v>
      </c>
      <c r="E14" s="12">
        <v>5</v>
      </c>
      <c r="F14" s="8">
        <v>2.7</v>
      </c>
      <c r="G14" s="12">
        <v>5</v>
      </c>
      <c r="H14" s="8">
        <v>4.72</v>
      </c>
      <c r="I14" s="12">
        <v>0</v>
      </c>
    </row>
    <row r="15" spans="2:9" ht="15" customHeight="1" x14ac:dyDescent="0.2">
      <c r="B15" t="s">
        <v>84</v>
      </c>
      <c r="C15" s="12">
        <v>41</v>
      </c>
      <c r="D15" s="8">
        <v>13.9</v>
      </c>
      <c r="E15" s="12">
        <v>33</v>
      </c>
      <c r="F15" s="8">
        <v>17.84</v>
      </c>
      <c r="G15" s="12">
        <v>8</v>
      </c>
      <c r="H15" s="8">
        <v>7.55</v>
      </c>
      <c r="I15" s="12">
        <v>0</v>
      </c>
    </row>
    <row r="16" spans="2:9" ht="15" customHeight="1" x14ac:dyDescent="0.2">
      <c r="B16" t="s">
        <v>85</v>
      </c>
      <c r="C16" s="12">
        <v>33</v>
      </c>
      <c r="D16" s="8">
        <v>11.19</v>
      </c>
      <c r="E16" s="12">
        <v>28</v>
      </c>
      <c r="F16" s="8">
        <v>15.14</v>
      </c>
      <c r="G16" s="12">
        <v>5</v>
      </c>
      <c r="H16" s="8">
        <v>4.72</v>
      </c>
      <c r="I16" s="12">
        <v>0</v>
      </c>
    </row>
    <row r="17" spans="2:9" ht="15" customHeight="1" x14ac:dyDescent="0.2">
      <c r="B17" t="s">
        <v>86</v>
      </c>
      <c r="C17" s="12">
        <v>7</v>
      </c>
      <c r="D17" s="8">
        <v>2.37</v>
      </c>
      <c r="E17" s="12">
        <v>5</v>
      </c>
      <c r="F17" s="8">
        <v>2.7</v>
      </c>
      <c r="G17" s="12">
        <v>1</v>
      </c>
      <c r="H17" s="8">
        <v>0.94</v>
      </c>
      <c r="I17" s="12">
        <v>0</v>
      </c>
    </row>
    <row r="18" spans="2:9" ht="15" customHeight="1" x14ac:dyDescent="0.2">
      <c r="B18" t="s">
        <v>87</v>
      </c>
      <c r="C18" s="12">
        <v>9</v>
      </c>
      <c r="D18" s="8">
        <v>3.05</v>
      </c>
      <c r="E18" s="12">
        <v>5</v>
      </c>
      <c r="F18" s="8">
        <v>2.7</v>
      </c>
      <c r="G18" s="12">
        <v>4</v>
      </c>
      <c r="H18" s="8">
        <v>3.77</v>
      </c>
      <c r="I18" s="12">
        <v>0</v>
      </c>
    </row>
    <row r="19" spans="2:9" ht="15" customHeight="1" x14ac:dyDescent="0.2">
      <c r="B19" t="s">
        <v>88</v>
      </c>
      <c r="C19" s="12">
        <v>16</v>
      </c>
      <c r="D19" s="8">
        <v>5.42</v>
      </c>
      <c r="E19" s="12">
        <v>10</v>
      </c>
      <c r="F19" s="8">
        <v>5.41</v>
      </c>
      <c r="G19" s="12">
        <v>4</v>
      </c>
      <c r="H19" s="8">
        <v>3.77</v>
      </c>
      <c r="I19" s="12">
        <v>0</v>
      </c>
    </row>
    <row r="20" spans="2:9" ht="15" customHeight="1" x14ac:dyDescent="0.2">
      <c r="B20" s="9" t="s">
        <v>269</v>
      </c>
      <c r="C20" s="12">
        <f>SUM(LTBL_11362[総数／事業所数])</f>
        <v>295</v>
      </c>
      <c r="E20" s="12">
        <f>SUBTOTAL(109,LTBL_11362[個人／事業所数])</f>
        <v>185</v>
      </c>
      <c r="G20" s="12">
        <f>SUBTOTAL(109,LTBL_11362[法人／事業所数])</f>
        <v>106</v>
      </c>
      <c r="I20" s="12">
        <f>SUBTOTAL(109,LTBL_11362[法人以外の団体／事業所数])</f>
        <v>0</v>
      </c>
    </row>
    <row r="21" spans="2:9" ht="15" customHeight="1" x14ac:dyDescent="0.2">
      <c r="E21" s="11">
        <f>LTBL_11362[[#Totals],[個人／事業所数]]/LTBL_11362[[#Totals],[総数／事業所数]]</f>
        <v>0.6271186440677966</v>
      </c>
      <c r="G21" s="11">
        <f>LTBL_11362[[#Totals],[法人／事業所数]]/LTBL_11362[[#Totals],[総数／事業所数]]</f>
        <v>0.35932203389830508</v>
      </c>
      <c r="I21" s="11">
        <f>LTBL_11362[[#Totals],[法人以外の団体／事業所数]]/LTBL_11362[[#Totals],[総数／事業所数]]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106</v>
      </c>
      <c r="C24" s="12">
        <v>31</v>
      </c>
      <c r="D24" s="8">
        <v>10.51</v>
      </c>
      <c r="E24" s="12">
        <v>24</v>
      </c>
      <c r="F24" s="8">
        <v>12.97</v>
      </c>
      <c r="G24" s="12">
        <v>7</v>
      </c>
      <c r="H24" s="8">
        <v>6.6</v>
      </c>
      <c r="I24" s="12">
        <v>0</v>
      </c>
    </row>
    <row r="25" spans="2:9" ht="15" customHeight="1" x14ac:dyDescent="0.2">
      <c r="B25" t="s">
        <v>111</v>
      </c>
      <c r="C25" s="12">
        <v>31</v>
      </c>
      <c r="D25" s="8">
        <v>10.51</v>
      </c>
      <c r="E25" s="12">
        <v>29</v>
      </c>
      <c r="F25" s="8">
        <v>15.68</v>
      </c>
      <c r="G25" s="12">
        <v>2</v>
      </c>
      <c r="H25" s="8">
        <v>1.89</v>
      </c>
      <c r="I25" s="12">
        <v>0</v>
      </c>
    </row>
    <row r="26" spans="2:9" ht="15" customHeight="1" x14ac:dyDescent="0.2">
      <c r="B26" t="s">
        <v>112</v>
      </c>
      <c r="C26" s="12">
        <v>29</v>
      </c>
      <c r="D26" s="8">
        <v>9.83</v>
      </c>
      <c r="E26" s="12">
        <v>24</v>
      </c>
      <c r="F26" s="8">
        <v>12.97</v>
      </c>
      <c r="G26" s="12">
        <v>5</v>
      </c>
      <c r="H26" s="8">
        <v>4.72</v>
      </c>
      <c r="I26" s="12">
        <v>0</v>
      </c>
    </row>
    <row r="27" spans="2:9" ht="15" customHeight="1" x14ac:dyDescent="0.2">
      <c r="B27" t="s">
        <v>97</v>
      </c>
      <c r="C27" s="12">
        <v>24</v>
      </c>
      <c r="D27" s="8">
        <v>8.14</v>
      </c>
      <c r="E27" s="12">
        <v>6</v>
      </c>
      <c r="F27" s="8">
        <v>3.24</v>
      </c>
      <c r="G27" s="12">
        <v>18</v>
      </c>
      <c r="H27" s="8">
        <v>16.98</v>
      </c>
      <c r="I27" s="12">
        <v>0</v>
      </c>
    </row>
    <row r="28" spans="2:9" ht="15" customHeight="1" x14ac:dyDescent="0.2">
      <c r="B28" t="s">
        <v>98</v>
      </c>
      <c r="C28" s="12">
        <v>23</v>
      </c>
      <c r="D28" s="8">
        <v>7.8</v>
      </c>
      <c r="E28" s="12">
        <v>18</v>
      </c>
      <c r="F28" s="8">
        <v>9.73</v>
      </c>
      <c r="G28" s="12">
        <v>5</v>
      </c>
      <c r="H28" s="8">
        <v>4.72</v>
      </c>
      <c r="I28" s="12">
        <v>0</v>
      </c>
    </row>
    <row r="29" spans="2:9" ht="15" customHeight="1" x14ac:dyDescent="0.2">
      <c r="B29" t="s">
        <v>104</v>
      </c>
      <c r="C29" s="12">
        <v>15</v>
      </c>
      <c r="D29" s="8">
        <v>5.08</v>
      </c>
      <c r="E29" s="12">
        <v>13</v>
      </c>
      <c r="F29" s="8">
        <v>7.03</v>
      </c>
      <c r="G29" s="12">
        <v>2</v>
      </c>
      <c r="H29" s="8">
        <v>1.89</v>
      </c>
      <c r="I29" s="12">
        <v>0</v>
      </c>
    </row>
    <row r="30" spans="2:9" ht="15" customHeight="1" x14ac:dyDescent="0.2">
      <c r="B30" t="s">
        <v>105</v>
      </c>
      <c r="C30" s="12">
        <v>13</v>
      </c>
      <c r="D30" s="8">
        <v>4.41</v>
      </c>
      <c r="E30" s="12">
        <v>10</v>
      </c>
      <c r="F30" s="8">
        <v>5.41</v>
      </c>
      <c r="G30" s="12">
        <v>3</v>
      </c>
      <c r="H30" s="8">
        <v>2.83</v>
      </c>
      <c r="I30" s="12">
        <v>0</v>
      </c>
    </row>
    <row r="31" spans="2:9" ht="15" customHeight="1" x14ac:dyDescent="0.2">
      <c r="B31" t="s">
        <v>99</v>
      </c>
      <c r="C31" s="12">
        <v>11</v>
      </c>
      <c r="D31" s="8">
        <v>3.73</v>
      </c>
      <c r="E31" s="12">
        <v>5</v>
      </c>
      <c r="F31" s="8">
        <v>2.7</v>
      </c>
      <c r="G31" s="12">
        <v>6</v>
      </c>
      <c r="H31" s="8">
        <v>5.66</v>
      </c>
      <c r="I31" s="12">
        <v>0</v>
      </c>
    </row>
    <row r="32" spans="2:9" ht="15" customHeight="1" x14ac:dyDescent="0.2">
      <c r="B32" t="s">
        <v>116</v>
      </c>
      <c r="C32" s="12">
        <v>10</v>
      </c>
      <c r="D32" s="8">
        <v>3.39</v>
      </c>
      <c r="E32" s="12">
        <v>8</v>
      </c>
      <c r="F32" s="8">
        <v>4.32</v>
      </c>
      <c r="G32" s="12">
        <v>2</v>
      </c>
      <c r="H32" s="8">
        <v>1.89</v>
      </c>
      <c r="I32" s="12">
        <v>0</v>
      </c>
    </row>
    <row r="33" spans="2:9" ht="15" customHeight="1" x14ac:dyDescent="0.2">
      <c r="B33" t="s">
        <v>100</v>
      </c>
      <c r="C33" s="12">
        <v>7</v>
      </c>
      <c r="D33" s="8">
        <v>2.37</v>
      </c>
      <c r="E33" s="12">
        <v>0</v>
      </c>
      <c r="F33" s="8">
        <v>0</v>
      </c>
      <c r="G33" s="12">
        <v>7</v>
      </c>
      <c r="H33" s="8">
        <v>6.6</v>
      </c>
      <c r="I33" s="12">
        <v>0</v>
      </c>
    </row>
    <row r="34" spans="2:9" ht="15" customHeight="1" x14ac:dyDescent="0.2">
      <c r="B34" t="s">
        <v>114</v>
      </c>
      <c r="C34" s="12">
        <v>7</v>
      </c>
      <c r="D34" s="8">
        <v>2.37</v>
      </c>
      <c r="E34" s="12">
        <v>5</v>
      </c>
      <c r="F34" s="8">
        <v>2.7</v>
      </c>
      <c r="G34" s="12">
        <v>1</v>
      </c>
      <c r="H34" s="8">
        <v>0.94</v>
      </c>
      <c r="I34" s="12">
        <v>0</v>
      </c>
    </row>
    <row r="35" spans="2:9" ht="15" customHeight="1" x14ac:dyDescent="0.2">
      <c r="B35" t="s">
        <v>108</v>
      </c>
      <c r="C35" s="12">
        <v>6</v>
      </c>
      <c r="D35" s="8">
        <v>2.0299999999999998</v>
      </c>
      <c r="E35" s="12">
        <v>2</v>
      </c>
      <c r="F35" s="8">
        <v>1.08</v>
      </c>
      <c r="G35" s="12">
        <v>4</v>
      </c>
      <c r="H35" s="8">
        <v>3.77</v>
      </c>
      <c r="I35" s="12">
        <v>0</v>
      </c>
    </row>
    <row r="36" spans="2:9" ht="15" customHeight="1" x14ac:dyDescent="0.2">
      <c r="B36" t="s">
        <v>115</v>
      </c>
      <c r="C36" s="12">
        <v>6</v>
      </c>
      <c r="D36" s="8">
        <v>2.0299999999999998</v>
      </c>
      <c r="E36" s="12">
        <v>5</v>
      </c>
      <c r="F36" s="8">
        <v>2.7</v>
      </c>
      <c r="G36" s="12">
        <v>1</v>
      </c>
      <c r="H36" s="8">
        <v>0.94</v>
      </c>
      <c r="I36" s="12">
        <v>0</v>
      </c>
    </row>
    <row r="37" spans="2:9" ht="15" customHeight="1" x14ac:dyDescent="0.2">
      <c r="B37" t="s">
        <v>120</v>
      </c>
      <c r="C37" s="12">
        <v>5</v>
      </c>
      <c r="D37" s="8">
        <v>1.69</v>
      </c>
      <c r="E37" s="12">
        <v>0</v>
      </c>
      <c r="F37" s="8">
        <v>0</v>
      </c>
      <c r="G37" s="12">
        <v>5</v>
      </c>
      <c r="H37" s="8">
        <v>4.72</v>
      </c>
      <c r="I37" s="12">
        <v>0</v>
      </c>
    </row>
    <row r="38" spans="2:9" ht="15" customHeight="1" x14ac:dyDescent="0.2">
      <c r="B38" t="s">
        <v>103</v>
      </c>
      <c r="C38" s="12">
        <v>5</v>
      </c>
      <c r="D38" s="8">
        <v>1.69</v>
      </c>
      <c r="E38" s="12">
        <v>5</v>
      </c>
      <c r="F38" s="8">
        <v>2.7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109</v>
      </c>
      <c r="C39" s="12">
        <v>5</v>
      </c>
      <c r="D39" s="8">
        <v>1.69</v>
      </c>
      <c r="E39" s="12">
        <v>3</v>
      </c>
      <c r="F39" s="8">
        <v>1.62</v>
      </c>
      <c r="G39" s="12">
        <v>2</v>
      </c>
      <c r="H39" s="8">
        <v>1.89</v>
      </c>
      <c r="I39" s="12">
        <v>0</v>
      </c>
    </row>
    <row r="40" spans="2:9" ht="15" customHeight="1" x14ac:dyDescent="0.2">
      <c r="B40" t="s">
        <v>110</v>
      </c>
      <c r="C40" s="12">
        <v>5</v>
      </c>
      <c r="D40" s="8">
        <v>1.69</v>
      </c>
      <c r="E40" s="12">
        <v>2</v>
      </c>
      <c r="F40" s="8">
        <v>1.08</v>
      </c>
      <c r="G40" s="12">
        <v>3</v>
      </c>
      <c r="H40" s="8">
        <v>2.83</v>
      </c>
      <c r="I40" s="12">
        <v>0</v>
      </c>
    </row>
    <row r="41" spans="2:9" ht="15" customHeight="1" x14ac:dyDescent="0.2">
      <c r="B41" t="s">
        <v>142</v>
      </c>
      <c r="C41" s="12">
        <v>5</v>
      </c>
      <c r="D41" s="8">
        <v>1.69</v>
      </c>
      <c r="E41" s="12">
        <v>3</v>
      </c>
      <c r="F41" s="8">
        <v>1.62</v>
      </c>
      <c r="G41" s="12">
        <v>2</v>
      </c>
      <c r="H41" s="8">
        <v>1.89</v>
      </c>
      <c r="I41" s="12">
        <v>0</v>
      </c>
    </row>
    <row r="42" spans="2:9" ht="15" customHeight="1" x14ac:dyDescent="0.2">
      <c r="B42" t="s">
        <v>134</v>
      </c>
      <c r="C42" s="12">
        <v>5</v>
      </c>
      <c r="D42" s="8">
        <v>1.69</v>
      </c>
      <c r="E42" s="12">
        <v>1</v>
      </c>
      <c r="F42" s="8">
        <v>0.54</v>
      </c>
      <c r="G42" s="12">
        <v>4</v>
      </c>
      <c r="H42" s="8">
        <v>3.77</v>
      </c>
      <c r="I42" s="12">
        <v>0</v>
      </c>
    </row>
    <row r="43" spans="2:9" ht="15" customHeight="1" x14ac:dyDescent="0.2">
      <c r="B43" t="s">
        <v>143</v>
      </c>
      <c r="C43" s="12">
        <v>3</v>
      </c>
      <c r="D43" s="8">
        <v>1.02</v>
      </c>
      <c r="E43" s="12">
        <v>1</v>
      </c>
      <c r="F43" s="8">
        <v>0.54</v>
      </c>
      <c r="G43" s="12">
        <v>2</v>
      </c>
      <c r="H43" s="8">
        <v>1.89</v>
      </c>
      <c r="I43" s="12">
        <v>0</v>
      </c>
    </row>
    <row r="44" spans="2:9" ht="15" customHeight="1" x14ac:dyDescent="0.2">
      <c r="B44" t="s">
        <v>137</v>
      </c>
      <c r="C44" s="12">
        <v>3</v>
      </c>
      <c r="D44" s="8">
        <v>1.02</v>
      </c>
      <c r="E44" s="12">
        <v>1</v>
      </c>
      <c r="F44" s="8">
        <v>0.54</v>
      </c>
      <c r="G44" s="12">
        <v>2</v>
      </c>
      <c r="H44" s="8">
        <v>1.89</v>
      </c>
      <c r="I44" s="12">
        <v>0</v>
      </c>
    </row>
    <row r="45" spans="2:9" ht="15" customHeight="1" x14ac:dyDescent="0.2">
      <c r="B45" t="s">
        <v>144</v>
      </c>
      <c r="C45" s="12">
        <v>3</v>
      </c>
      <c r="D45" s="8">
        <v>1.02</v>
      </c>
      <c r="E45" s="12">
        <v>0</v>
      </c>
      <c r="F45" s="8">
        <v>0</v>
      </c>
      <c r="G45" s="12">
        <v>3</v>
      </c>
      <c r="H45" s="8">
        <v>2.83</v>
      </c>
      <c r="I45" s="12">
        <v>0</v>
      </c>
    </row>
    <row r="46" spans="2:9" ht="15" customHeight="1" x14ac:dyDescent="0.2">
      <c r="B46" t="s">
        <v>145</v>
      </c>
      <c r="C46" s="12">
        <v>3</v>
      </c>
      <c r="D46" s="8">
        <v>1.02</v>
      </c>
      <c r="E46" s="12">
        <v>0</v>
      </c>
      <c r="F46" s="8">
        <v>0</v>
      </c>
      <c r="G46" s="12">
        <v>2</v>
      </c>
      <c r="H46" s="8">
        <v>1.89</v>
      </c>
      <c r="I46" s="12">
        <v>0</v>
      </c>
    </row>
    <row r="47" spans="2:9" ht="15" customHeight="1" x14ac:dyDescent="0.2">
      <c r="B47" t="s">
        <v>101</v>
      </c>
      <c r="C47" s="12">
        <v>3</v>
      </c>
      <c r="D47" s="8">
        <v>1.02</v>
      </c>
      <c r="E47" s="12">
        <v>1</v>
      </c>
      <c r="F47" s="8">
        <v>0.54</v>
      </c>
      <c r="G47" s="12">
        <v>2</v>
      </c>
      <c r="H47" s="8">
        <v>1.89</v>
      </c>
      <c r="I47" s="12">
        <v>0</v>
      </c>
    </row>
    <row r="48" spans="2:9" ht="15" customHeight="1" x14ac:dyDescent="0.2">
      <c r="B48" t="s">
        <v>118</v>
      </c>
      <c r="C48" s="12">
        <v>3</v>
      </c>
      <c r="D48" s="8">
        <v>1.02</v>
      </c>
      <c r="E48" s="12">
        <v>0</v>
      </c>
      <c r="F48" s="8">
        <v>0</v>
      </c>
      <c r="G48" s="12">
        <v>3</v>
      </c>
      <c r="H48" s="8">
        <v>2.83</v>
      </c>
      <c r="I48" s="12">
        <v>0</v>
      </c>
    </row>
    <row r="49" spans="2:9" ht="15" customHeight="1" x14ac:dyDescent="0.2">
      <c r="B49" t="s">
        <v>146</v>
      </c>
      <c r="C49" s="12">
        <v>3</v>
      </c>
      <c r="D49" s="8">
        <v>1.02</v>
      </c>
      <c r="E49" s="12">
        <v>2</v>
      </c>
      <c r="F49" s="8">
        <v>1.08</v>
      </c>
      <c r="G49" s="12">
        <v>1</v>
      </c>
      <c r="H49" s="8">
        <v>0.94</v>
      </c>
      <c r="I49" s="12">
        <v>0</v>
      </c>
    </row>
    <row r="52" spans="2:9" ht="33" customHeight="1" x14ac:dyDescent="0.2">
      <c r="B52" t="s">
        <v>271</v>
      </c>
      <c r="C52" s="10" t="s">
        <v>90</v>
      </c>
      <c r="D52" s="10" t="s">
        <v>91</v>
      </c>
      <c r="E52" s="10" t="s">
        <v>92</v>
      </c>
      <c r="F52" s="10" t="s">
        <v>93</v>
      </c>
      <c r="G52" s="10" t="s">
        <v>94</v>
      </c>
      <c r="H52" s="10" t="s">
        <v>95</v>
      </c>
      <c r="I52" s="10" t="s">
        <v>96</v>
      </c>
    </row>
    <row r="53" spans="2:9" ht="15" customHeight="1" x14ac:dyDescent="0.2">
      <c r="B53" t="s">
        <v>169</v>
      </c>
      <c r="C53" s="12">
        <v>14</v>
      </c>
      <c r="D53" s="8">
        <v>4.75</v>
      </c>
      <c r="E53" s="12">
        <v>13</v>
      </c>
      <c r="F53" s="8">
        <v>7.03</v>
      </c>
      <c r="G53" s="12">
        <v>1</v>
      </c>
      <c r="H53" s="8">
        <v>0.94</v>
      </c>
      <c r="I53" s="12">
        <v>0</v>
      </c>
    </row>
    <row r="54" spans="2:9" ht="15" customHeight="1" x14ac:dyDescent="0.2">
      <c r="B54" t="s">
        <v>173</v>
      </c>
      <c r="C54" s="12">
        <v>13</v>
      </c>
      <c r="D54" s="8">
        <v>4.41</v>
      </c>
      <c r="E54" s="12">
        <v>11</v>
      </c>
      <c r="F54" s="8">
        <v>5.95</v>
      </c>
      <c r="G54" s="12">
        <v>2</v>
      </c>
      <c r="H54" s="8">
        <v>1.89</v>
      </c>
      <c r="I54" s="12">
        <v>0</v>
      </c>
    </row>
    <row r="55" spans="2:9" ht="15" customHeight="1" x14ac:dyDescent="0.2">
      <c r="B55" t="s">
        <v>164</v>
      </c>
      <c r="C55" s="12">
        <v>12</v>
      </c>
      <c r="D55" s="8">
        <v>4.07</v>
      </c>
      <c r="E55" s="12">
        <v>8</v>
      </c>
      <c r="F55" s="8">
        <v>4.32</v>
      </c>
      <c r="G55" s="12">
        <v>4</v>
      </c>
      <c r="H55" s="8">
        <v>3.77</v>
      </c>
      <c r="I55" s="12">
        <v>0</v>
      </c>
    </row>
    <row r="56" spans="2:9" ht="15" customHeight="1" x14ac:dyDescent="0.2">
      <c r="B56" t="s">
        <v>159</v>
      </c>
      <c r="C56" s="12">
        <v>10</v>
      </c>
      <c r="D56" s="8">
        <v>3.39</v>
      </c>
      <c r="E56" s="12">
        <v>5</v>
      </c>
      <c r="F56" s="8">
        <v>2.7</v>
      </c>
      <c r="G56" s="12">
        <v>5</v>
      </c>
      <c r="H56" s="8">
        <v>4.72</v>
      </c>
      <c r="I56" s="12">
        <v>0</v>
      </c>
    </row>
    <row r="57" spans="2:9" ht="15" customHeight="1" x14ac:dyDescent="0.2">
      <c r="B57" t="s">
        <v>176</v>
      </c>
      <c r="C57" s="12">
        <v>10</v>
      </c>
      <c r="D57" s="8">
        <v>3.39</v>
      </c>
      <c r="E57" s="12">
        <v>8</v>
      </c>
      <c r="F57" s="8">
        <v>4.32</v>
      </c>
      <c r="G57" s="12">
        <v>2</v>
      </c>
      <c r="H57" s="8">
        <v>1.89</v>
      </c>
      <c r="I57" s="12">
        <v>0</v>
      </c>
    </row>
    <row r="58" spans="2:9" ht="15" customHeight="1" x14ac:dyDescent="0.2">
      <c r="B58" t="s">
        <v>160</v>
      </c>
      <c r="C58" s="12">
        <v>8</v>
      </c>
      <c r="D58" s="8">
        <v>2.71</v>
      </c>
      <c r="E58" s="12">
        <v>4</v>
      </c>
      <c r="F58" s="8">
        <v>2.16</v>
      </c>
      <c r="G58" s="12">
        <v>4</v>
      </c>
      <c r="H58" s="8">
        <v>3.77</v>
      </c>
      <c r="I58" s="12">
        <v>0</v>
      </c>
    </row>
    <row r="59" spans="2:9" ht="15" customHeight="1" x14ac:dyDescent="0.2">
      <c r="B59" t="s">
        <v>203</v>
      </c>
      <c r="C59" s="12">
        <v>8</v>
      </c>
      <c r="D59" s="8">
        <v>2.71</v>
      </c>
      <c r="E59" s="12">
        <v>5</v>
      </c>
      <c r="F59" s="8">
        <v>2.7</v>
      </c>
      <c r="G59" s="12">
        <v>3</v>
      </c>
      <c r="H59" s="8">
        <v>2.83</v>
      </c>
      <c r="I59" s="12">
        <v>0</v>
      </c>
    </row>
    <row r="60" spans="2:9" ht="15" customHeight="1" x14ac:dyDescent="0.2">
      <c r="B60" t="s">
        <v>157</v>
      </c>
      <c r="C60" s="12">
        <v>7</v>
      </c>
      <c r="D60" s="8">
        <v>2.37</v>
      </c>
      <c r="E60" s="12">
        <v>0</v>
      </c>
      <c r="F60" s="8">
        <v>0</v>
      </c>
      <c r="G60" s="12">
        <v>7</v>
      </c>
      <c r="H60" s="8">
        <v>6.6</v>
      </c>
      <c r="I60" s="12">
        <v>0</v>
      </c>
    </row>
    <row r="61" spans="2:9" ht="15" customHeight="1" x14ac:dyDescent="0.2">
      <c r="B61" t="s">
        <v>162</v>
      </c>
      <c r="C61" s="12">
        <v>7</v>
      </c>
      <c r="D61" s="8">
        <v>2.37</v>
      </c>
      <c r="E61" s="12">
        <v>5</v>
      </c>
      <c r="F61" s="8">
        <v>2.7</v>
      </c>
      <c r="G61" s="12">
        <v>2</v>
      </c>
      <c r="H61" s="8">
        <v>1.89</v>
      </c>
      <c r="I61" s="12">
        <v>0</v>
      </c>
    </row>
    <row r="62" spans="2:9" ht="15" customHeight="1" x14ac:dyDescent="0.2">
      <c r="B62" t="s">
        <v>171</v>
      </c>
      <c r="C62" s="12">
        <v>7</v>
      </c>
      <c r="D62" s="8">
        <v>2.37</v>
      </c>
      <c r="E62" s="12">
        <v>5</v>
      </c>
      <c r="F62" s="8">
        <v>2.7</v>
      </c>
      <c r="G62" s="12">
        <v>2</v>
      </c>
      <c r="H62" s="8">
        <v>1.89</v>
      </c>
      <c r="I62" s="12">
        <v>0</v>
      </c>
    </row>
    <row r="63" spans="2:9" ht="15" customHeight="1" x14ac:dyDescent="0.2">
      <c r="B63" t="s">
        <v>172</v>
      </c>
      <c r="C63" s="12">
        <v>7</v>
      </c>
      <c r="D63" s="8">
        <v>2.37</v>
      </c>
      <c r="E63" s="12">
        <v>7</v>
      </c>
      <c r="F63" s="8">
        <v>3.78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216</v>
      </c>
      <c r="C64" s="12">
        <v>6</v>
      </c>
      <c r="D64" s="8">
        <v>2.0299999999999998</v>
      </c>
      <c r="E64" s="12">
        <v>6</v>
      </c>
      <c r="F64" s="8">
        <v>3.24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225</v>
      </c>
      <c r="C65" s="12">
        <v>6</v>
      </c>
      <c r="D65" s="8">
        <v>2.0299999999999998</v>
      </c>
      <c r="E65" s="12">
        <v>5</v>
      </c>
      <c r="F65" s="8">
        <v>2.7</v>
      </c>
      <c r="G65" s="12">
        <v>1</v>
      </c>
      <c r="H65" s="8">
        <v>0.94</v>
      </c>
      <c r="I65" s="12">
        <v>0</v>
      </c>
    </row>
    <row r="66" spans="2:9" ht="15" customHeight="1" x14ac:dyDescent="0.2">
      <c r="B66" t="s">
        <v>170</v>
      </c>
      <c r="C66" s="12">
        <v>6</v>
      </c>
      <c r="D66" s="8">
        <v>2.0299999999999998</v>
      </c>
      <c r="E66" s="12">
        <v>6</v>
      </c>
      <c r="F66" s="8">
        <v>3.24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167</v>
      </c>
      <c r="C67" s="12">
        <v>5</v>
      </c>
      <c r="D67" s="8">
        <v>1.69</v>
      </c>
      <c r="E67" s="12">
        <v>1</v>
      </c>
      <c r="F67" s="8">
        <v>0.54</v>
      </c>
      <c r="G67" s="12">
        <v>4</v>
      </c>
      <c r="H67" s="8">
        <v>3.77</v>
      </c>
      <c r="I67" s="12">
        <v>0</v>
      </c>
    </row>
    <row r="68" spans="2:9" ht="15" customHeight="1" x14ac:dyDescent="0.2">
      <c r="B68" t="s">
        <v>237</v>
      </c>
      <c r="C68" s="12">
        <v>5</v>
      </c>
      <c r="D68" s="8">
        <v>1.69</v>
      </c>
      <c r="E68" s="12">
        <v>3</v>
      </c>
      <c r="F68" s="8">
        <v>1.62</v>
      </c>
      <c r="G68" s="12">
        <v>2</v>
      </c>
      <c r="H68" s="8">
        <v>1.89</v>
      </c>
      <c r="I68" s="12">
        <v>0</v>
      </c>
    </row>
    <row r="69" spans="2:9" ht="15" customHeight="1" x14ac:dyDescent="0.2">
      <c r="B69" t="s">
        <v>158</v>
      </c>
      <c r="C69" s="12">
        <v>4</v>
      </c>
      <c r="D69" s="8">
        <v>1.36</v>
      </c>
      <c r="E69" s="12">
        <v>0</v>
      </c>
      <c r="F69" s="8">
        <v>0</v>
      </c>
      <c r="G69" s="12">
        <v>4</v>
      </c>
      <c r="H69" s="8">
        <v>3.77</v>
      </c>
      <c r="I69" s="12">
        <v>0</v>
      </c>
    </row>
    <row r="70" spans="2:9" ht="15" customHeight="1" x14ac:dyDescent="0.2">
      <c r="B70" t="s">
        <v>236</v>
      </c>
      <c r="C70" s="12">
        <v>4</v>
      </c>
      <c r="D70" s="8">
        <v>1.36</v>
      </c>
      <c r="E70" s="12">
        <v>3</v>
      </c>
      <c r="F70" s="8">
        <v>1.62</v>
      </c>
      <c r="G70" s="12">
        <v>1</v>
      </c>
      <c r="H70" s="8">
        <v>0.94</v>
      </c>
      <c r="I70" s="12">
        <v>0</v>
      </c>
    </row>
    <row r="71" spans="2:9" ht="15" customHeight="1" x14ac:dyDescent="0.2">
      <c r="B71" t="s">
        <v>163</v>
      </c>
      <c r="C71" s="12">
        <v>4</v>
      </c>
      <c r="D71" s="8">
        <v>1.36</v>
      </c>
      <c r="E71" s="12">
        <v>4</v>
      </c>
      <c r="F71" s="8">
        <v>2.16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185</v>
      </c>
      <c r="C72" s="12">
        <v>4</v>
      </c>
      <c r="D72" s="8">
        <v>1.36</v>
      </c>
      <c r="E72" s="12">
        <v>2</v>
      </c>
      <c r="F72" s="8">
        <v>1.08</v>
      </c>
      <c r="G72" s="12">
        <v>2</v>
      </c>
      <c r="H72" s="8">
        <v>1.89</v>
      </c>
      <c r="I72" s="12">
        <v>0</v>
      </c>
    </row>
    <row r="73" spans="2:9" ht="15" customHeight="1" x14ac:dyDescent="0.2">
      <c r="B73" t="s">
        <v>207</v>
      </c>
      <c r="C73" s="12">
        <v>4</v>
      </c>
      <c r="D73" s="8">
        <v>1.36</v>
      </c>
      <c r="E73" s="12">
        <v>4</v>
      </c>
      <c r="F73" s="8">
        <v>2.16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226</v>
      </c>
      <c r="C74" s="12">
        <v>4</v>
      </c>
      <c r="D74" s="8">
        <v>1.36</v>
      </c>
      <c r="E74" s="12">
        <v>3</v>
      </c>
      <c r="F74" s="8">
        <v>1.62</v>
      </c>
      <c r="G74" s="12">
        <v>1</v>
      </c>
      <c r="H74" s="8">
        <v>0.94</v>
      </c>
      <c r="I74" s="12">
        <v>0</v>
      </c>
    </row>
    <row r="75" spans="2:9" ht="15" customHeight="1" x14ac:dyDescent="0.2">
      <c r="B75" t="s">
        <v>179</v>
      </c>
      <c r="C75" s="12">
        <v>4</v>
      </c>
      <c r="D75" s="8">
        <v>1.36</v>
      </c>
      <c r="E75" s="12">
        <v>4</v>
      </c>
      <c r="F75" s="8">
        <v>2.16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175</v>
      </c>
      <c r="C76" s="12">
        <v>4</v>
      </c>
      <c r="D76" s="8">
        <v>1.36</v>
      </c>
      <c r="E76" s="12">
        <v>4</v>
      </c>
      <c r="F76" s="8">
        <v>2.16</v>
      </c>
      <c r="G76" s="12">
        <v>0</v>
      </c>
      <c r="H76" s="8">
        <v>0</v>
      </c>
      <c r="I76" s="12">
        <v>0</v>
      </c>
    </row>
    <row r="78" spans="2:9" ht="15" customHeight="1" x14ac:dyDescent="0.2">
      <c r="B78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F885E-D1EE-41DC-8A0E-DF675E91915F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336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32</v>
      </c>
      <c r="D6" s="8">
        <v>12.31</v>
      </c>
      <c r="E6" s="12">
        <v>19</v>
      </c>
      <c r="F6" s="8">
        <v>11.05</v>
      </c>
      <c r="G6" s="12">
        <v>13</v>
      </c>
      <c r="H6" s="8">
        <v>15.29</v>
      </c>
      <c r="I6" s="12">
        <v>0</v>
      </c>
    </row>
    <row r="7" spans="2:9" ht="15" customHeight="1" x14ac:dyDescent="0.2">
      <c r="B7" t="s">
        <v>76</v>
      </c>
      <c r="C7" s="12">
        <v>37</v>
      </c>
      <c r="D7" s="8">
        <v>14.23</v>
      </c>
      <c r="E7" s="12">
        <v>12</v>
      </c>
      <c r="F7" s="8">
        <v>6.98</v>
      </c>
      <c r="G7" s="12">
        <v>25</v>
      </c>
      <c r="H7" s="8">
        <v>29.41</v>
      </c>
      <c r="I7" s="12">
        <v>0</v>
      </c>
    </row>
    <row r="8" spans="2:9" ht="15" customHeight="1" x14ac:dyDescent="0.2">
      <c r="B8" t="s">
        <v>77</v>
      </c>
      <c r="C8" s="12">
        <v>1</v>
      </c>
      <c r="D8" s="8">
        <v>0.38</v>
      </c>
      <c r="E8" s="12">
        <v>0</v>
      </c>
      <c r="F8" s="8">
        <v>0</v>
      </c>
      <c r="G8" s="12">
        <v>1</v>
      </c>
      <c r="H8" s="8">
        <v>1.18</v>
      </c>
      <c r="I8" s="12">
        <v>0</v>
      </c>
    </row>
    <row r="9" spans="2:9" ht="15" customHeight="1" x14ac:dyDescent="0.2">
      <c r="B9" t="s">
        <v>78</v>
      </c>
      <c r="C9" s="12">
        <v>2</v>
      </c>
      <c r="D9" s="8">
        <v>0.77</v>
      </c>
      <c r="E9" s="12">
        <v>0</v>
      </c>
      <c r="F9" s="8">
        <v>0</v>
      </c>
      <c r="G9" s="12">
        <v>2</v>
      </c>
      <c r="H9" s="8">
        <v>2.35</v>
      </c>
      <c r="I9" s="12">
        <v>0</v>
      </c>
    </row>
    <row r="10" spans="2:9" ht="15" customHeight="1" x14ac:dyDescent="0.2">
      <c r="B10" t="s">
        <v>79</v>
      </c>
      <c r="C10" s="12">
        <v>4</v>
      </c>
      <c r="D10" s="8">
        <v>1.54</v>
      </c>
      <c r="E10" s="12">
        <v>1</v>
      </c>
      <c r="F10" s="8">
        <v>0.57999999999999996</v>
      </c>
      <c r="G10" s="12">
        <v>3</v>
      </c>
      <c r="H10" s="8">
        <v>3.53</v>
      </c>
      <c r="I10" s="12">
        <v>0</v>
      </c>
    </row>
    <row r="11" spans="2:9" ht="15" customHeight="1" x14ac:dyDescent="0.2">
      <c r="B11" t="s">
        <v>80</v>
      </c>
      <c r="C11" s="12">
        <v>51</v>
      </c>
      <c r="D11" s="8">
        <v>19.62</v>
      </c>
      <c r="E11" s="12">
        <v>37</v>
      </c>
      <c r="F11" s="8">
        <v>21.51</v>
      </c>
      <c r="G11" s="12">
        <v>14</v>
      </c>
      <c r="H11" s="8">
        <v>16.47</v>
      </c>
      <c r="I11" s="12">
        <v>0</v>
      </c>
    </row>
    <row r="12" spans="2:9" ht="15" customHeight="1" x14ac:dyDescent="0.2">
      <c r="B12" t="s">
        <v>81</v>
      </c>
      <c r="C12" s="12">
        <v>1</v>
      </c>
      <c r="D12" s="8">
        <v>0.38</v>
      </c>
      <c r="E12" s="12">
        <v>1</v>
      </c>
      <c r="F12" s="8">
        <v>0.57999999999999996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82</v>
      </c>
      <c r="C13" s="12">
        <v>17</v>
      </c>
      <c r="D13" s="8">
        <v>6.54</v>
      </c>
      <c r="E13" s="12">
        <v>12</v>
      </c>
      <c r="F13" s="8">
        <v>6.98</v>
      </c>
      <c r="G13" s="12">
        <v>5</v>
      </c>
      <c r="H13" s="8">
        <v>5.88</v>
      </c>
      <c r="I13" s="12">
        <v>0</v>
      </c>
    </row>
    <row r="14" spans="2:9" ht="15" customHeight="1" x14ac:dyDescent="0.2">
      <c r="B14" t="s">
        <v>83</v>
      </c>
      <c r="C14" s="12">
        <v>9</v>
      </c>
      <c r="D14" s="8">
        <v>3.46</v>
      </c>
      <c r="E14" s="12">
        <v>6</v>
      </c>
      <c r="F14" s="8">
        <v>3.49</v>
      </c>
      <c r="G14" s="12">
        <v>3</v>
      </c>
      <c r="H14" s="8">
        <v>3.53</v>
      </c>
      <c r="I14" s="12">
        <v>0</v>
      </c>
    </row>
    <row r="15" spans="2:9" ht="15" customHeight="1" x14ac:dyDescent="0.2">
      <c r="B15" t="s">
        <v>84</v>
      </c>
      <c r="C15" s="12">
        <v>50</v>
      </c>
      <c r="D15" s="8">
        <v>19.23</v>
      </c>
      <c r="E15" s="12">
        <v>42</v>
      </c>
      <c r="F15" s="8">
        <v>24.42</v>
      </c>
      <c r="G15" s="12">
        <v>8</v>
      </c>
      <c r="H15" s="8">
        <v>9.41</v>
      </c>
      <c r="I15" s="12">
        <v>0</v>
      </c>
    </row>
    <row r="16" spans="2:9" ht="15" customHeight="1" x14ac:dyDescent="0.2">
      <c r="B16" t="s">
        <v>85</v>
      </c>
      <c r="C16" s="12">
        <v>31</v>
      </c>
      <c r="D16" s="8">
        <v>11.92</v>
      </c>
      <c r="E16" s="12">
        <v>28</v>
      </c>
      <c r="F16" s="8">
        <v>16.28</v>
      </c>
      <c r="G16" s="12">
        <v>3</v>
      </c>
      <c r="H16" s="8">
        <v>3.53</v>
      </c>
      <c r="I16" s="12">
        <v>0</v>
      </c>
    </row>
    <row r="17" spans="2:9" ht="15" customHeight="1" x14ac:dyDescent="0.2">
      <c r="B17" t="s">
        <v>86</v>
      </c>
      <c r="C17" s="12">
        <v>8</v>
      </c>
      <c r="D17" s="8">
        <v>3.08</v>
      </c>
      <c r="E17" s="12">
        <v>6</v>
      </c>
      <c r="F17" s="8">
        <v>3.49</v>
      </c>
      <c r="G17" s="12">
        <v>1</v>
      </c>
      <c r="H17" s="8">
        <v>1.18</v>
      </c>
      <c r="I17" s="12">
        <v>0</v>
      </c>
    </row>
    <row r="18" spans="2:9" ht="15" customHeight="1" x14ac:dyDescent="0.2">
      <c r="B18" t="s">
        <v>87</v>
      </c>
      <c r="C18" s="12">
        <v>10</v>
      </c>
      <c r="D18" s="8">
        <v>3.85</v>
      </c>
      <c r="E18" s="12">
        <v>5</v>
      </c>
      <c r="F18" s="8">
        <v>2.91</v>
      </c>
      <c r="G18" s="12">
        <v>4</v>
      </c>
      <c r="H18" s="8">
        <v>4.71</v>
      </c>
      <c r="I18" s="12">
        <v>0</v>
      </c>
    </row>
    <row r="19" spans="2:9" ht="15" customHeight="1" x14ac:dyDescent="0.2">
      <c r="B19" t="s">
        <v>88</v>
      </c>
      <c r="C19" s="12">
        <v>7</v>
      </c>
      <c r="D19" s="8">
        <v>2.69</v>
      </c>
      <c r="E19" s="12">
        <v>3</v>
      </c>
      <c r="F19" s="8">
        <v>1.74</v>
      </c>
      <c r="G19" s="12">
        <v>3</v>
      </c>
      <c r="H19" s="8">
        <v>3.53</v>
      </c>
      <c r="I19" s="12">
        <v>0</v>
      </c>
    </row>
    <row r="20" spans="2:9" ht="15" customHeight="1" x14ac:dyDescent="0.2">
      <c r="B20" s="9" t="s">
        <v>269</v>
      </c>
      <c r="C20" s="12">
        <f>SUM(LTBL_11363[総数／事業所数])</f>
        <v>260</v>
      </c>
      <c r="E20" s="12">
        <f>SUBTOTAL(109,LTBL_11363[個人／事業所数])</f>
        <v>172</v>
      </c>
      <c r="G20" s="12">
        <f>SUBTOTAL(109,LTBL_11363[法人／事業所数])</f>
        <v>85</v>
      </c>
      <c r="I20" s="12">
        <f>SUBTOTAL(109,LTBL_11363[法人以外の団体／事業所数])</f>
        <v>0</v>
      </c>
    </row>
    <row r="21" spans="2:9" ht="15" customHeight="1" x14ac:dyDescent="0.2">
      <c r="E21" s="11">
        <f>LTBL_11363[[#Totals],[個人／事業所数]]/LTBL_11363[[#Totals],[総数／事業所数]]</f>
        <v>0.66153846153846152</v>
      </c>
      <c r="G21" s="11">
        <f>LTBL_11363[[#Totals],[法人／事業所数]]/LTBL_11363[[#Totals],[総数／事業所数]]</f>
        <v>0.32692307692307693</v>
      </c>
      <c r="I21" s="11">
        <f>LTBL_11363[[#Totals],[法人以外の団体／事業所数]]/LTBL_11363[[#Totals],[総数／事業所数]]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111</v>
      </c>
      <c r="C24" s="12">
        <v>40</v>
      </c>
      <c r="D24" s="8">
        <v>15.38</v>
      </c>
      <c r="E24" s="12">
        <v>36</v>
      </c>
      <c r="F24" s="8">
        <v>20.93</v>
      </c>
      <c r="G24" s="12">
        <v>4</v>
      </c>
      <c r="H24" s="8">
        <v>4.71</v>
      </c>
      <c r="I24" s="12">
        <v>0</v>
      </c>
    </row>
    <row r="25" spans="2:9" ht="15" customHeight="1" x14ac:dyDescent="0.2">
      <c r="B25" t="s">
        <v>112</v>
      </c>
      <c r="C25" s="12">
        <v>23</v>
      </c>
      <c r="D25" s="8">
        <v>8.85</v>
      </c>
      <c r="E25" s="12">
        <v>22</v>
      </c>
      <c r="F25" s="8">
        <v>12.79</v>
      </c>
      <c r="G25" s="12">
        <v>1</v>
      </c>
      <c r="H25" s="8">
        <v>1.18</v>
      </c>
      <c r="I25" s="12">
        <v>0</v>
      </c>
    </row>
    <row r="26" spans="2:9" ht="15" customHeight="1" x14ac:dyDescent="0.2">
      <c r="B26" t="s">
        <v>104</v>
      </c>
      <c r="C26" s="12">
        <v>20</v>
      </c>
      <c r="D26" s="8">
        <v>7.69</v>
      </c>
      <c r="E26" s="12">
        <v>14</v>
      </c>
      <c r="F26" s="8">
        <v>8.14</v>
      </c>
      <c r="G26" s="12">
        <v>6</v>
      </c>
      <c r="H26" s="8">
        <v>7.06</v>
      </c>
      <c r="I26" s="12">
        <v>0</v>
      </c>
    </row>
    <row r="27" spans="2:9" ht="15" customHeight="1" x14ac:dyDescent="0.2">
      <c r="B27" t="s">
        <v>97</v>
      </c>
      <c r="C27" s="12">
        <v>19</v>
      </c>
      <c r="D27" s="8">
        <v>7.31</v>
      </c>
      <c r="E27" s="12">
        <v>8</v>
      </c>
      <c r="F27" s="8">
        <v>4.6500000000000004</v>
      </c>
      <c r="G27" s="12">
        <v>11</v>
      </c>
      <c r="H27" s="8">
        <v>12.94</v>
      </c>
      <c r="I27" s="12">
        <v>0</v>
      </c>
    </row>
    <row r="28" spans="2:9" ht="15" customHeight="1" x14ac:dyDescent="0.2">
      <c r="B28" t="s">
        <v>108</v>
      </c>
      <c r="C28" s="12">
        <v>16</v>
      </c>
      <c r="D28" s="8">
        <v>6.15</v>
      </c>
      <c r="E28" s="12">
        <v>12</v>
      </c>
      <c r="F28" s="8">
        <v>6.98</v>
      </c>
      <c r="G28" s="12">
        <v>4</v>
      </c>
      <c r="H28" s="8">
        <v>4.71</v>
      </c>
      <c r="I28" s="12">
        <v>0</v>
      </c>
    </row>
    <row r="29" spans="2:9" ht="15" customHeight="1" x14ac:dyDescent="0.2">
      <c r="B29" t="s">
        <v>106</v>
      </c>
      <c r="C29" s="12">
        <v>12</v>
      </c>
      <c r="D29" s="8">
        <v>4.62</v>
      </c>
      <c r="E29" s="12">
        <v>11</v>
      </c>
      <c r="F29" s="8">
        <v>6.4</v>
      </c>
      <c r="G29" s="12">
        <v>1</v>
      </c>
      <c r="H29" s="8">
        <v>1.18</v>
      </c>
      <c r="I29" s="12">
        <v>0</v>
      </c>
    </row>
    <row r="30" spans="2:9" ht="15" customHeight="1" x14ac:dyDescent="0.2">
      <c r="B30" t="s">
        <v>98</v>
      </c>
      <c r="C30" s="12">
        <v>9</v>
      </c>
      <c r="D30" s="8">
        <v>3.46</v>
      </c>
      <c r="E30" s="12">
        <v>7</v>
      </c>
      <c r="F30" s="8">
        <v>4.07</v>
      </c>
      <c r="G30" s="12">
        <v>2</v>
      </c>
      <c r="H30" s="8">
        <v>2.35</v>
      </c>
      <c r="I30" s="12">
        <v>0</v>
      </c>
    </row>
    <row r="31" spans="2:9" ht="15" customHeight="1" x14ac:dyDescent="0.2">
      <c r="B31" t="s">
        <v>105</v>
      </c>
      <c r="C31" s="12">
        <v>9</v>
      </c>
      <c r="D31" s="8">
        <v>3.46</v>
      </c>
      <c r="E31" s="12">
        <v>6</v>
      </c>
      <c r="F31" s="8">
        <v>3.49</v>
      </c>
      <c r="G31" s="12">
        <v>3</v>
      </c>
      <c r="H31" s="8">
        <v>3.53</v>
      </c>
      <c r="I31" s="12">
        <v>0</v>
      </c>
    </row>
    <row r="32" spans="2:9" ht="15" customHeight="1" x14ac:dyDescent="0.2">
      <c r="B32" t="s">
        <v>114</v>
      </c>
      <c r="C32" s="12">
        <v>8</v>
      </c>
      <c r="D32" s="8">
        <v>3.08</v>
      </c>
      <c r="E32" s="12">
        <v>6</v>
      </c>
      <c r="F32" s="8">
        <v>3.49</v>
      </c>
      <c r="G32" s="12">
        <v>1</v>
      </c>
      <c r="H32" s="8">
        <v>1.18</v>
      </c>
      <c r="I32" s="12">
        <v>0</v>
      </c>
    </row>
    <row r="33" spans="2:9" ht="15" customHeight="1" x14ac:dyDescent="0.2">
      <c r="B33" t="s">
        <v>115</v>
      </c>
      <c r="C33" s="12">
        <v>8</v>
      </c>
      <c r="D33" s="8">
        <v>3.08</v>
      </c>
      <c r="E33" s="12">
        <v>5</v>
      </c>
      <c r="F33" s="8">
        <v>2.91</v>
      </c>
      <c r="G33" s="12">
        <v>3</v>
      </c>
      <c r="H33" s="8">
        <v>3.53</v>
      </c>
      <c r="I33" s="12">
        <v>0</v>
      </c>
    </row>
    <row r="34" spans="2:9" ht="15" customHeight="1" x14ac:dyDescent="0.2">
      <c r="B34" t="s">
        <v>139</v>
      </c>
      <c r="C34" s="12">
        <v>7</v>
      </c>
      <c r="D34" s="8">
        <v>2.69</v>
      </c>
      <c r="E34" s="12">
        <v>1</v>
      </c>
      <c r="F34" s="8">
        <v>0.57999999999999996</v>
      </c>
      <c r="G34" s="12">
        <v>6</v>
      </c>
      <c r="H34" s="8">
        <v>7.06</v>
      </c>
      <c r="I34" s="12">
        <v>0</v>
      </c>
    </row>
    <row r="35" spans="2:9" ht="15" customHeight="1" x14ac:dyDescent="0.2">
      <c r="B35" t="s">
        <v>100</v>
      </c>
      <c r="C35" s="12">
        <v>7</v>
      </c>
      <c r="D35" s="8">
        <v>2.69</v>
      </c>
      <c r="E35" s="12">
        <v>4</v>
      </c>
      <c r="F35" s="8">
        <v>2.33</v>
      </c>
      <c r="G35" s="12">
        <v>3</v>
      </c>
      <c r="H35" s="8">
        <v>3.53</v>
      </c>
      <c r="I35" s="12">
        <v>0</v>
      </c>
    </row>
    <row r="36" spans="2:9" ht="15" customHeight="1" x14ac:dyDescent="0.2">
      <c r="B36" t="s">
        <v>110</v>
      </c>
      <c r="C36" s="12">
        <v>6</v>
      </c>
      <c r="D36" s="8">
        <v>2.31</v>
      </c>
      <c r="E36" s="12">
        <v>4</v>
      </c>
      <c r="F36" s="8">
        <v>2.33</v>
      </c>
      <c r="G36" s="12">
        <v>2</v>
      </c>
      <c r="H36" s="8">
        <v>2.35</v>
      </c>
      <c r="I36" s="12">
        <v>0</v>
      </c>
    </row>
    <row r="37" spans="2:9" ht="15" customHeight="1" x14ac:dyDescent="0.2">
      <c r="B37" t="s">
        <v>142</v>
      </c>
      <c r="C37" s="12">
        <v>6</v>
      </c>
      <c r="D37" s="8">
        <v>2.31</v>
      </c>
      <c r="E37" s="12">
        <v>3</v>
      </c>
      <c r="F37" s="8">
        <v>1.74</v>
      </c>
      <c r="G37" s="12">
        <v>3</v>
      </c>
      <c r="H37" s="8">
        <v>3.53</v>
      </c>
      <c r="I37" s="12">
        <v>0</v>
      </c>
    </row>
    <row r="38" spans="2:9" ht="15" customHeight="1" x14ac:dyDescent="0.2">
      <c r="B38" t="s">
        <v>135</v>
      </c>
      <c r="C38" s="12">
        <v>5</v>
      </c>
      <c r="D38" s="8">
        <v>1.92</v>
      </c>
      <c r="E38" s="12">
        <v>2</v>
      </c>
      <c r="F38" s="8">
        <v>1.1599999999999999</v>
      </c>
      <c r="G38" s="12">
        <v>3</v>
      </c>
      <c r="H38" s="8">
        <v>3.53</v>
      </c>
      <c r="I38" s="12">
        <v>0</v>
      </c>
    </row>
    <row r="39" spans="2:9" ht="15" customHeight="1" x14ac:dyDescent="0.2">
      <c r="B39" t="s">
        <v>99</v>
      </c>
      <c r="C39" s="12">
        <v>4</v>
      </c>
      <c r="D39" s="8">
        <v>1.54</v>
      </c>
      <c r="E39" s="12">
        <v>4</v>
      </c>
      <c r="F39" s="8">
        <v>2.33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137</v>
      </c>
      <c r="C40" s="12">
        <v>4</v>
      </c>
      <c r="D40" s="8">
        <v>1.54</v>
      </c>
      <c r="E40" s="12">
        <v>2</v>
      </c>
      <c r="F40" s="8">
        <v>1.1599999999999999</v>
      </c>
      <c r="G40" s="12">
        <v>2</v>
      </c>
      <c r="H40" s="8">
        <v>2.35</v>
      </c>
      <c r="I40" s="12">
        <v>0</v>
      </c>
    </row>
    <row r="41" spans="2:9" ht="15" customHeight="1" x14ac:dyDescent="0.2">
      <c r="B41" t="s">
        <v>134</v>
      </c>
      <c r="C41" s="12">
        <v>4</v>
      </c>
      <c r="D41" s="8">
        <v>1.54</v>
      </c>
      <c r="E41" s="12">
        <v>3</v>
      </c>
      <c r="F41" s="8">
        <v>1.74</v>
      </c>
      <c r="G41" s="12">
        <v>1</v>
      </c>
      <c r="H41" s="8">
        <v>1.18</v>
      </c>
      <c r="I41" s="12">
        <v>0</v>
      </c>
    </row>
    <row r="42" spans="2:9" ht="15" customHeight="1" x14ac:dyDescent="0.2">
      <c r="B42" t="s">
        <v>113</v>
      </c>
      <c r="C42" s="12">
        <v>4</v>
      </c>
      <c r="D42" s="8">
        <v>1.54</v>
      </c>
      <c r="E42" s="12">
        <v>4</v>
      </c>
      <c r="F42" s="8">
        <v>2.33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124</v>
      </c>
      <c r="C43" s="12">
        <v>4</v>
      </c>
      <c r="D43" s="8">
        <v>1.54</v>
      </c>
      <c r="E43" s="12">
        <v>2</v>
      </c>
      <c r="F43" s="8">
        <v>1.1599999999999999</v>
      </c>
      <c r="G43" s="12">
        <v>2</v>
      </c>
      <c r="H43" s="8">
        <v>2.35</v>
      </c>
      <c r="I43" s="12">
        <v>0</v>
      </c>
    </row>
    <row r="44" spans="2:9" ht="15" customHeight="1" x14ac:dyDescent="0.2">
      <c r="B44" t="s">
        <v>116</v>
      </c>
      <c r="C44" s="12">
        <v>4</v>
      </c>
      <c r="D44" s="8">
        <v>1.54</v>
      </c>
      <c r="E44" s="12">
        <v>2</v>
      </c>
      <c r="F44" s="8">
        <v>1.1599999999999999</v>
      </c>
      <c r="G44" s="12">
        <v>2</v>
      </c>
      <c r="H44" s="8">
        <v>2.35</v>
      </c>
      <c r="I44" s="12">
        <v>0</v>
      </c>
    </row>
    <row r="47" spans="2:9" ht="33" customHeight="1" x14ac:dyDescent="0.2">
      <c r="B47" t="s">
        <v>271</v>
      </c>
      <c r="C47" s="10" t="s">
        <v>90</v>
      </c>
      <c r="D47" s="10" t="s">
        <v>91</v>
      </c>
      <c r="E47" s="10" t="s">
        <v>92</v>
      </c>
      <c r="F47" s="10" t="s">
        <v>93</v>
      </c>
      <c r="G47" s="10" t="s">
        <v>94</v>
      </c>
      <c r="H47" s="10" t="s">
        <v>95</v>
      </c>
      <c r="I47" s="10" t="s">
        <v>96</v>
      </c>
    </row>
    <row r="48" spans="2:9" ht="15" customHeight="1" x14ac:dyDescent="0.2">
      <c r="B48" t="s">
        <v>173</v>
      </c>
      <c r="C48" s="12">
        <v>14</v>
      </c>
      <c r="D48" s="8">
        <v>5.38</v>
      </c>
      <c r="E48" s="12">
        <v>13</v>
      </c>
      <c r="F48" s="8">
        <v>7.56</v>
      </c>
      <c r="G48" s="12">
        <v>1</v>
      </c>
      <c r="H48" s="8">
        <v>1.18</v>
      </c>
      <c r="I48" s="12">
        <v>0</v>
      </c>
    </row>
    <row r="49" spans="2:9" ht="15" customHeight="1" x14ac:dyDescent="0.2">
      <c r="B49" t="s">
        <v>206</v>
      </c>
      <c r="C49" s="12">
        <v>10</v>
      </c>
      <c r="D49" s="8">
        <v>3.85</v>
      </c>
      <c r="E49" s="12">
        <v>8</v>
      </c>
      <c r="F49" s="8">
        <v>4.6500000000000004</v>
      </c>
      <c r="G49" s="12">
        <v>2</v>
      </c>
      <c r="H49" s="8">
        <v>2.35</v>
      </c>
      <c r="I49" s="12">
        <v>0</v>
      </c>
    </row>
    <row r="50" spans="2:9" ht="15" customHeight="1" x14ac:dyDescent="0.2">
      <c r="B50" t="s">
        <v>162</v>
      </c>
      <c r="C50" s="12">
        <v>9</v>
      </c>
      <c r="D50" s="8">
        <v>3.46</v>
      </c>
      <c r="E50" s="12">
        <v>5</v>
      </c>
      <c r="F50" s="8">
        <v>2.91</v>
      </c>
      <c r="G50" s="12">
        <v>4</v>
      </c>
      <c r="H50" s="8">
        <v>4.71</v>
      </c>
      <c r="I50" s="12">
        <v>0</v>
      </c>
    </row>
    <row r="51" spans="2:9" ht="15" customHeight="1" x14ac:dyDescent="0.2">
      <c r="B51" t="s">
        <v>169</v>
      </c>
      <c r="C51" s="12">
        <v>9</v>
      </c>
      <c r="D51" s="8">
        <v>3.46</v>
      </c>
      <c r="E51" s="12">
        <v>8</v>
      </c>
      <c r="F51" s="8">
        <v>4.6500000000000004</v>
      </c>
      <c r="G51" s="12">
        <v>1</v>
      </c>
      <c r="H51" s="8">
        <v>1.18</v>
      </c>
      <c r="I51" s="12">
        <v>0</v>
      </c>
    </row>
    <row r="52" spans="2:9" ht="15" customHeight="1" x14ac:dyDescent="0.2">
      <c r="B52" t="s">
        <v>189</v>
      </c>
      <c r="C52" s="12">
        <v>8</v>
      </c>
      <c r="D52" s="8">
        <v>3.08</v>
      </c>
      <c r="E52" s="12">
        <v>8</v>
      </c>
      <c r="F52" s="8">
        <v>4.6500000000000004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157</v>
      </c>
      <c r="C53" s="12">
        <v>7</v>
      </c>
      <c r="D53" s="8">
        <v>2.69</v>
      </c>
      <c r="E53" s="12">
        <v>1</v>
      </c>
      <c r="F53" s="8">
        <v>0.57999999999999996</v>
      </c>
      <c r="G53" s="12">
        <v>6</v>
      </c>
      <c r="H53" s="8">
        <v>7.06</v>
      </c>
      <c r="I53" s="12">
        <v>0</v>
      </c>
    </row>
    <row r="54" spans="2:9" ht="15" customHeight="1" x14ac:dyDescent="0.2">
      <c r="B54" t="s">
        <v>238</v>
      </c>
      <c r="C54" s="12">
        <v>7</v>
      </c>
      <c r="D54" s="8">
        <v>2.69</v>
      </c>
      <c r="E54" s="12">
        <v>1</v>
      </c>
      <c r="F54" s="8">
        <v>0.57999999999999996</v>
      </c>
      <c r="G54" s="12">
        <v>6</v>
      </c>
      <c r="H54" s="8">
        <v>7.06</v>
      </c>
      <c r="I54" s="12">
        <v>0</v>
      </c>
    </row>
    <row r="55" spans="2:9" ht="15" customHeight="1" x14ac:dyDescent="0.2">
      <c r="B55" t="s">
        <v>163</v>
      </c>
      <c r="C55" s="12">
        <v>7</v>
      </c>
      <c r="D55" s="8">
        <v>2.69</v>
      </c>
      <c r="E55" s="12">
        <v>5</v>
      </c>
      <c r="F55" s="8">
        <v>2.91</v>
      </c>
      <c r="G55" s="12">
        <v>2</v>
      </c>
      <c r="H55" s="8">
        <v>2.35</v>
      </c>
      <c r="I55" s="12">
        <v>0</v>
      </c>
    </row>
    <row r="56" spans="2:9" ht="15" customHeight="1" x14ac:dyDescent="0.2">
      <c r="B56" t="s">
        <v>192</v>
      </c>
      <c r="C56" s="12">
        <v>7</v>
      </c>
      <c r="D56" s="8">
        <v>2.69</v>
      </c>
      <c r="E56" s="12">
        <v>7</v>
      </c>
      <c r="F56" s="8">
        <v>4.07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237</v>
      </c>
      <c r="C57" s="12">
        <v>6</v>
      </c>
      <c r="D57" s="8">
        <v>2.31</v>
      </c>
      <c r="E57" s="12">
        <v>3</v>
      </c>
      <c r="F57" s="8">
        <v>1.74</v>
      </c>
      <c r="G57" s="12">
        <v>3</v>
      </c>
      <c r="H57" s="8">
        <v>3.53</v>
      </c>
      <c r="I57" s="12">
        <v>0</v>
      </c>
    </row>
    <row r="58" spans="2:9" ht="15" customHeight="1" x14ac:dyDescent="0.2">
      <c r="B58" t="s">
        <v>170</v>
      </c>
      <c r="C58" s="12">
        <v>6</v>
      </c>
      <c r="D58" s="8">
        <v>2.31</v>
      </c>
      <c r="E58" s="12">
        <v>6</v>
      </c>
      <c r="F58" s="8">
        <v>3.49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174</v>
      </c>
      <c r="C59" s="12">
        <v>6</v>
      </c>
      <c r="D59" s="8">
        <v>2.31</v>
      </c>
      <c r="E59" s="12">
        <v>6</v>
      </c>
      <c r="F59" s="8">
        <v>3.49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220</v>
      </c>
      <c r="C60" s="12">
        <v>5</v>
      </c>
      <c r="D60" s="8">
        <v>1.92</v>
      </c>
      <c r="E60" s="12">
        <v>2</v>
      </c>
      <c r="F60" s="8">
        <v>1.1599999999999999</v>
      </c>
      <c r="G60" s="12">
        <v>3</v>
      </c>
      <c r="H60" s="8">
        <v>3.53</v>
      </c>
      <c r="I60" s="12">
        <v>0</v>
      </c>
    </row>
    <row r="61" spans="2:9" ht="15" customHeight="1" x14ac:dyDescent="0.2">
      <c r="B61" t="s">
        <v>164</v>
      </c>
      <c r="C61" s="12">
        <v>5</v>
      </c>
      <c r="D61" s="8">
        <v>1.92</v>
      </c>
      <c r="E61" s="12">
        <v>5</v>
      </c>
      <c r="F61" s="8">
        <v>2.91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167</v>
      </c>
      <c r="C62" s="12">
        <v>5</v>
      </c>
      <c r="D62" s="8">
        <v>1.92</v>
      </c>
      <c r="E62" s="12">
        <v>4</v>
      </c>
      <c r="F62" s="8">
        <v>2.33</v>
      </c>
      <c r="G62" s="12">
        <v>1</v>
      </c>
      <c r="H62" s="8">
        <v>1.18</v>
      </c>
      <c r="I62" s="12">
        <v>0</v>
      </c>
    </row>
    <row r="63" spans="2:9" ht="15" customHeight="1" x14ac:dyDescent="0.2">
      <c r="B63" t="s">
        <v>205</v>
      </c>
      <c r="C63" s="12">
        <v>5</v>
      </c>
      <c r="D63" s="8">
        <v>1.92</v>
      </c>
      <c r="E63" s="12">
        <v>4</v>
      </c>
      <c r="F63" s="8">
        <v>2.33</v>
      </c>
      <c r="G63" s="12">
        <v>1</v>
      </c>
      <c r="H63" s="8">
        <v>1.18</v>
      </c>
      <c r="I63" s="12">
        <v>0</v>
      </c>
    </row>
    <row r="64" spans="2:9" ht="15" customHeight="1" x14ac:dyDescent="0.2">
      <c r="B64" t="s">
        <v>172</v>
      </c>
      <c r="C64" s="12">
        <v>5</v>
      </c>
      <c r="D64" s="8">
        <v>1.92</v>
      </c>
      <c r="E64" s="12">
        <v>5</v>
      </c>
      <c r="F64" s="8">
        <v>2.91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175</v>
      </c>
      <c r="C65" s="12">
        <v>5</v>
      </c>
      <c r="D65" s="8">
        <v>1.92</v>
      </c>
      <c r="E65" s="12">
        <v>3</v>
      </c>
      <c r="F65" s="8">
        <v>1.74</v>
      </c>
      <c r="G65" s="12">
        <v>2</v>
      </c>
      <c r="H65" s="8">
        <v>2.35</v>
      </c>
      <c r="I65" s="12">
        <v>0</v>
      </c>
    </row>
    <row r="66" spans="2:9" ht="15" customHeight="1" x14ac:dyDescent="0.2">
      <c r="B66" t="s">
        <v>158</v>
      </c>
      <c r="C66" s="12">
        <v>4</v>
      </c>
      <c r="D66" s="8">
        <v>1.54</v>
      </c>
      <c r="E66" s="12">
        <v>3</v>
      </c>
      <c r="F66" s="8">
        <v>1.74</v>
      </c>
      <c r="G66" s="12">
        <v>1</v>
      </c>
      <c r="H66" s="8">
        <v>1.18</v>
      </c>
      <c r="I66" s="12">
        <v>0</v>
      </c>
    </row>
    <row r="67" spans="2:9" ht="15" customHeight="1" x14ac:dyDescent="0.2">
      <c r="B67" t="s">
        <v>159</v>
      </c>
      <c r="C67" s="12">
        <v>4</v>
      </c>
      <c r="D67" s="8">
        <v>1.54</v>
      </c>
      <c r="E67" s="12">
        <v>2</v>
      </c>
      <c r="F67" s="8">
        <v>1.1599999999999999</v>
      </c>
      <c r="G67" s="12">
        <v>2</v>
      </c>
      <c r="H67" s="8">
        <v>2.35</v>
      </c>
      <c r="I67" s="12">
        <v>0</v>
      </c>
    </row>
    <row r="68" spans="2:9" ht="15" customHeight="1" x14ac:dyDescent="0.2">
      <c r="B68" t="s">
        <v>171</v>
      </c>
      <c r="C68" s="12">
        <v>4</v>
      </c>
      <c r="D68" s="8">
        <v>1.54</v>
      </c>
      <c r="E68" s="12">
        <v>4</v>
      </c>
      <c r="F68" s="8">
        <v>2.33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176</v>
      </c>
      <c r="C69" s="12">
        <v>4</v>
      </c>
      <c r="D69" s="8">
        <v>1.54</v>
      </c>
      <c r="E69" s="12">
        <v>2</v>
      </c>
      <c r="F69" s="8">
        <v>1.1599999999999999</v>
      </c>
      <c r="G69" s="12">
        <v>2</v>
      </c>
      <c r="H69" s="8">
        <v>2.35</v>
      </c>
      <c r="I69" s="12">
        <v>0</v>
      </c>
    </row>
    <row r="71" spans="2:9" ht="15" customHeight="1" x14ac:dyDescent="0.2">
      <c r="B71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7ABD7-B863-4AA9-A3F7-720E388B18A6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274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284</v>
      </c>
      <c r="D6" s="8">
        <v>24.48</v>
      </c>
      <c r="E6" s="12">
        <v>30</v>
      </c>
      <c r="F6" s="8">
        <v>8.33</v>
      </c>
      <c r="G6" s="12">
        <v>254</v>
      </c>
      <c r="H6" s="8">
        <v>31.95</v>
      </c>
      <c r="I6" s="12">
        <v>0</v>
      </c>
    </row>
    <row r="7" spans="2:9" ht="15" customHeight="1" x14ac:dyDescent="0.2">
      <c r="B7" t="s">
        <v>76</v>
      </c>
      <c r="C7" s="12">
        <v>158</v>
      </c>
      <c r="D7" s="8">
        <v>13.62</v>
      </c>
      <c r="E7" s="12">
        <v>46</v>
      </c>
      <c r="F7" s="8">
        <v>12.78</v>
      </c>
      <c r="G7" s="12">
        <v>112</v>
      </c>
      <c r="H7" s="8">
        <v>14.09</v>
      </c>
      <c r="I7" s="12">
        <v>0</v>
      </c>
    </row>
    <row r="8" spans="2:9" ht="15" customHeight="1" x14ac:dyDescent="0.2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78</v>
      </c>
      <c r="C9" s="12">
        <v>16</v>
      </c>
      <c r="D9" s="8">
        <v>1.38</v>
      </c>
      <c r="E9" s="12">
        <v>0</v>
      </c>
      <c r="F9" s="8">
        <v>0</v>
      </c>
      <c r="G9" s="12">
        <v>16</v>
      </c>
      <c r="H9" s="8">
        <v>2.0099999999999998</v>
      </c>
      <c r="I9" s="12">
        <v>0</v>
      </c>
    </row>
    <row r="10" spans="2:9" ht="15" customHeight="1" x14ac:dyDescent="0.2">
      <c r="B10" t="s">
        <v>79</v>
      </c>
      <c r="C10" s="12">
        <v>6</v>
      </c>
      <c r="D10" s="8">
        <v>0.52</v>
      </c>
      <c r="E10" s="12">
        <v>1</v>
      </c>
      <c r="F10" s="8">
        <v>0.28000000000000003</v>
      </c>
      <c r="G10" s="12">
        <v>5</v>
      </c>
      <c r="H10" s="8">
        <v>0.63</v>
      </c>
      <c r="I10" s="12">
        <v>0</v>
      </c>
    </row>
    <row r="11" spans="2:9" ht="15" customHeight="1" x14ac:dyDescent="0.2">
      <c r="B11" t="s">
        <v>80</v>
      </c>
      <c r="C11" s="12">
        <v>200</v>
      </c>
      <c r="D11" s="8">
        <v>17.239999999999998</v>
      </c>
      <c r="E11" s="12">
        <v>58</v>
      </c>
      <c r="F11" s="8">
        <v>16.11</v>
      </c>
      <c r="G11" s="12">
        <v>141</v>
      </c>
      <c r="H11" s="8">
        <v>17.739999999999998</v>
      </c>
      <c r="I11" s="12">
        <v>1</v>
      </c>
    </row>
    <row r="12" spans="2:9" ht="15" customHeight="1" x14ac:dyDescent="0.2">
      <c r="B12" t="s">
        <v>81</v>
      </c>
      <c r="C12" s="12">
        <v>8</v>
      </c>
      <c r="D12" s="8">
        <v>0.69</v>
      </c>
      <c r="E12" s="12">
        <v>2</v>
      </c>
      <c r="F12" s="8">
        <v>0.56000000000000005</v>
      </c>
      <c r="G12" s="12">
        <v>6</v>
      </c>
      <c r="H12" s="8">
        <v>0.75</v>
      </c>
      <c r="I12" s="12">
        <v>0</v>
      </c>
    </row>
    <row r="13" spans="2:9" ht="15" customHeight="1" x14ac:dyDescent="0.2">
      <c r="B13" t="s">
        <v>82</v>
      </c>
      <c r="C13" s="12">
        <v>111</v>
      </c>
      <c r="D13" s="8">
        <v>9.57</v>
      </c>
      <c r="E13" s="12">
        <v>20</v>
      </c>
      <c r="F13" s="8">
        <v>5.56</v>
      </c>
      <c r="G13" s="12">
        <v>91</v>
      </c>
      <c r="H13" s="8">
        <v>11.45</v>
      </c>
      <c r="I13" s="12">
        <v>0</v>
      </c>
    </row>
    <row r="14" spans="2:9" ht="15" customHeight="1" x14ac:dyDescent="0.2">
      <c r="B14" t="s">
        <v>83</v>
      </c>
      <c r="C14" s="12">
        <v>62</v>
      </c>
      <c r="D14" s="8">
        <v>5.34</v>
      </c>
      <c r="E14" s="12">
        <v>20</v>
      </c>
      <c r="F14" s="8">
        <v>5.56</v>
      </c>
      <c r="G14" s="12">
        <v>42</v>
      </c>
      <c r="H14" s="8">
        <v>5.28</v>
      </c>
      <c r="I14" s="12">
        <v>0</v>
      </c>
    </row>
    <row r="15" spans="2:9" ht="15" customHeight="1" x14ac:dyDescent="0.2">
      <c r="B15" t="s">
        <v>84</v>
      </c>
      <c r="C15" s="12">
        <v>52</v>
      </c>
      <c r="D15" s="8">
        <v>4.4800000000000004</v>
      </c>
      <c r="E15" s="12">
        <v>37</v>
      </c>
      <c r="F15" s="8">
        <v>10.28</v>
      </c>
      <c r="G15" s="12">
        <v>15</v>
      </c>
      <c r="H15" s="8">
        <v>1.89</v>
      </c>
      <c r="I15" s="12">
        <v>0</v>
      </c>
    </row>
    <row r="16" spans="2:9" ht="15" customHeight="1" x14ac:dyDescent="0.2">
      <c r="B16" t="s">
        <v>85</v>
      </c>
      <c r="C16" s="12">
        <v>106</v>
      </c>
      <c r="D16" s="8">
        <v>9.14</v>
      </c>
      <c r="E16" s="12">
        <v>73</v>
      </c>
      <c r="F16" s="8">
        <v>20.28</v>
      </c>
      <c r="G16" s="12">
        <v>33</v>
      </c>
      <c r="H16" s="8">
        <v>4.1500000000000004</v>
      </c>
      <c r="I16" s="12">
        <v>0</v>
      </c>
    </row>
    <row r="17" spans="2:9" ht="15" customHeight="1" x14ac:dyDescent="0.2">
      <c r="B17" t="s">
        <v>86</v>
      </c>
      <c r="C17" s="12">
        <v>48</v>
      </c>
      <c r="D17" s="8">
        <v>4.1399999999999997</v>
      </c>
      <c r="E17" s="12">
        <v>34</v>
      </c>
      <c r="F17" s="8">
        <v>9.44</v>
      </c>
      <c r="G17" s="12">
        <v>10</v>
      </c>
      <c r="H17" s="8">
        <v>1.26</v>
      </c>
      <c r="I17" s="12">
        <v>0</v>
      </c>
    </row>
    <row r="18" spans="2:9" ht="15" customHeight="1" x14ac:dyDescent="0.2">
      <c r="B18" t="s">
        <v>87</v>
      </c>
      <c r="C18" s="12">
        <v>57</v>
      </c>
      <c r="D18" s="8">
        <v>4.91</v>
      </c>
      <c r="E18" s="12">
        <v>28</v>
      </c>
      <c r="F18" s="8">
        <v>7.78</v>
      </c>
      <c r="G18" s="12">
        <v>29</v>
      </c>
      <c r="H18" s="8">
        <v>3.65</v>
      </c>
      <c r="I18" s="12">
        <v>0</v>
      </c>
    </row>
    <row r="19" spans="2:9" ht="15" customHeight="1" x14ac:dyDescent="0.2">
      <c r="B19" t="s">
        <v>88</v>
      </c>
      <c r="C19" s="12">
        <v>52</v>
      </c>
      <c r="D19" s="8">
        <v>4.4800000000000004</v>
      </c>
      <c r="E19" s="12">
        <v>11</v>
      </c>
      <c r="F19" s="8">
        <v>3.06</v>
      </c>
      <c r="G19" s="12">
        <v>41</v>
      </c>
      <c r="H19" s="8">
        <v>5.16</v>
      </c>
      <c r="I19" s="12">
        <v>0</v>
      </c>
    </row>
    <row r="20" spans="2:9" ht="15" customHeight="1" x14ac:dyDescent="0.2">
      <c r="B20" s="9" t="s">
        <v>269</v>
      </c>
      <c r="C20" s="12">
        <f>SUM(LTBL_11101[総数／事業所数])</f>
        <v>1160</v>
      </c>
      <c r="E20" s="12">
        <f>SUBTOTAL(109,LTBL_11101[個人／事業所数])</f>
        <v>360</v>
      </c>
      <c r="G20" s="12">
        <f>SUBTOTAL(109,LTBL_11101[法人／事業所数])</f>
        <v>795</v>
      </c>
      <c r="I20" s="12">
        <f>SUBTOTAL(109,LTBL_11101[法人以外の団体／事業所数])</f>
        <v>1</v>
      </c>
    </row>
    <row r="21" spans="2:9" ht="15" customHeight="1" x14ac:dyDescent="0.2">
      <c r="E21" s="11">
        <f>LTBL_11101[[#Totals],[個人／事業所数]]/LTBL_11101[[#Totals],[総数／事業所数]]</f>
        <v>0.31034482758620691</v>
      </c>
      <c r="G21" s="11">
        <f>LTBL_11101[[#Totals],[法人／事業所数]]/LTBL_11101[[#Totals],[総数／事業所数]]</f>
        <v>0.68534482758620685</v>
      </c>
      <c r="I21" s="11">
        <f>LTBL_11101[[#Totals],[法人以外の団体／事業所数]]/LTBL_11101[[#Totals],[総数／事業所数]]</f>
        <v>8.6206896551724137E-4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98</v>
      </c>
      <c r="C24" s="12">
        <v>109</v>
      </c>
      <c r="D24" s="8">
        <v>9.4</v>
      </c>
      <c r="E24" s="12">
        <v>13</v>
      </c>
      <c r="F24" s="8">
        <v>3.61</v>
      </c>
      <c r="G24" s="12">
        <v>96</v>
      </c>
      <c r="H24" s="8">
        <v>12.08</v>
      </c>
      <c r="I24" s="12">
        <v>0</v>
      </c>
    </row>
    <row r="25" spans="2:9" ht="15" customHeight="1" x14ac:dyDescent="0.2">
      <c r="B25" t="s">
        <v>97</v>
      </c>
      <c r="C25" s="12">
        <v>97</v>
      </c>
      <c r="D25" s="8">
        <v>8.36</v>
      </c>
      <c r="E25" s="12">
        <v>13</v>
      </c>
      <c r="F25" s="8">
        <v>3.61</v>
      </c>
      <c r="G25" s="12">
        <v>84</v>
      </c>
      <c r="H25" s="8">
        <v>10.57</v>
      </c>
      <c r="I25" s="12">
        <v>0</v>
      </c>
    </row>
    <row r="26" spans="2:9" ht="15" customHeight="1" x14ac:dyDescent="0.2">
      <c r="B26" t="s">
        <v>108</v>
      </c>
      <c r="C26" s="12">
        <v>86</v>
      </c>
      <c r="D26" s="8">
        <v>7.41</v>
      </c>
      <c r="E26" s="12">
        <v>20</v>
      </c>
      <c r="F26" s="8">
        <v>5.56</v>
      </c>
      <c r="G26" s="12">
        <v>66</v>
      </c>
      <c r="H26" s="8">
        <v>8.3000000000000007</v>
      </c>
      <c r="I26" s="12">
        <v>0</v>
      </c>
    </row>
    <row r="27" spans="2:9" ht="15" customHeight="1" x14ac:dyDescent="0.2">
      <c r="B27" t="s">
        <v>112</v>
      </c>
      <c r="C27" s="12">
        <v>83</v>
      </c>
      <c r="D27" s="8">
        <v>7.16</v>
      </c>
      <c r="E27" s="12">
        <v>65</v>
      </c>
      <c r="F27" s="8">
        <v>18.059999999999999</v>
      </c>
      <c r="G27" s="12">
        <v>18</v>
      </c>
      <c r="H27" s="8">
        <v>2.2599999999999998</v>
      </c>
      <c r="I27" s="12">
        <v>0</v>
      </c>
    </row>
    <row r="28" spans="2:9" ht="15" customHeight="1" x14ac:dyDescent="0.2">
      <c r="B28" t="s">
        <v>99</v>
      </c>
      <c r="C28" s="12">
        <v>78</v>
      </c>
      <c r="D28" s="8">
        <v>6.72</v>
      </c>
      <c r="E28" s="12">
        <v>4</v>
      </c>
      <c r="F28" s="8">
        <v>1.1100000000000001</v>
      </c>
      <c r="G28" s="12">
        <v>74</v>
      </c>
      <c r="H28" s="8">
        <v>9.31</v>
      </c>
      <c r="I28" s="12">
        <v>0</v>
      </c>
    </row>
    <row r="29" spans="2:9" ht="15" customHeight="1" x14ac:dyDescent="0.2">
      <c r="B29" t="s">
        <v>106</v>
      </c>
      <c r="C29" s="12">
        <v>52</v>
      </c>
      <c r="D29" s="8">
        <v>4.4800000000000004</v>
      </c>
      <c r="E29" s="12">
        <v>21</v>
      </c>
      <c r="F29" s="8">
        <v>5.83</v>
      </c>
      <c r="G29" s="12">
        <v>31</v>
      </c>
      <c r="H29" s="8">
        <v>3.9</v>
      </c>
      <c r="I29" s="12">
        <v>0</v>
      </c>
    </row>
    <row r="30" spans="2:9" ht="15" customHeight="1" x14ac:dyDescent="0.2">
      <c r="B30" t="s">
        <v>114</v>
      </c>
      <c r="C30" s="12">
        <v>48</v>
      </c>
      <c r="D30" s="8">
        <v>4.1399999999999997</v>
      </c>
      <c r="E30" s="12">
        <v>34</v>
      </c>
      <c r="F30" s="8">
        <v>9.44</v>
      </c>
      <c r="G30" s="12">
        <v>10</v>
      </c>
      <c r="H30" s="8">
        <v>1.26</v>
      </c>
      <c r="I30" s="12">
        <v>0</v>
      </c>
    </row>
    <row r="31" spans="2:9" ht="15" customHeight="1" x14ac:dyDescent="0.2">
      <c r="B31" t="s">
        <v>111</v>
      </c>
      <c r="C31" s="12">
        <v>44</v>
      </c>
      <c r="D31" s="8">
        <v>3.79</v>
      </c>
      <c r="E31" s="12">
        <v>37</v>
      </c>
      <c r="F31" s="8">
        <v>10.28</v>
      </c>
      <c r="G31" s="12">
        <v>7</v>
      </c>
      <c r="H31" s="8">
        <v>0.88</v>
      </c>
      <c r="I31" s="12">
        <v>0</v>
      </c>
    </row>
    <row r="32" spans="2:9" ht="15" customHeight="1" x14ac:dyDescent="0.2">
      <c r="B32" t="s">
        <v>105</v>
      </c>
      <c r="C32" s="12">
        <v>41</v>
      </c>
      <c r="D32" s="8">
        <v>3.53</v>
      </c>
      <c r="E32" s="12">
        <v>15</v>
      </c>
      <c r="F32" s="8">
        <v>4.17</v>
      </c>
      <c r="G32" s="12">
        <v>26</v>
      </c>
      <c r="H32" s="8">
        <v>3.27</v>
      </c>
      <c r="I32" s="12">
        <v>0</v>
      </c>
    </row>
    <row r="33" spans="2:9" ht="15" customHeight="1" x14ac:dyDescent="0.2">
      <c r="B33" t="s">
        <v>109</v>
      </c>
      <c r="C33" s="12">
        <v>31</v>
      </c>
      <c r="D33" s="8">
        <v>2.67</v>
      </c>
      <c r="E33" s="12">
        <v>13</v>
      </c>
      <c r="F33" s="8">
        <v>3.61</v>
      </c>
      <c r="G33" s="12">
        <v>18</v>
      </c>
      <c r="H33" s="8">
        <v>2.2599999999999998</v>
      </c>
      <c r="I33" s="12">
        <v>0</v>
      </c>
    </row>
    <row r="34" spans="2:9" ht="15" customHeight="1" x14ac:dyDescent="0.2">
      <c r="B34" t="s">
        <v>115</v>
      </c>
      <c r="C34" s="12">
        <v>29</v>
      </c>
      <c r="D34" s="8">
        <v>2.5</v>
      </c>
      <c r="E34" s="12">
        <v>28</v>
      </c>
      <c r="F34" s="8">
        <v>7.78</v>
      </c>
      <c r="G34" s="12">
        <v>1</v>
      </c>
      <c r="H34" s="8">
        <v>0.13</v>
      </c>
      <c r="I34" s="12">
        <v>0</v>
      </c>
    </row>
    <row r="35" spans="2:9" ht="15" customHeight="1" x14ac:dyDescent="0.2">
      <c r="B35" t="s">
        <v>118</v>
      </c>
      <c r="C35" s="12">
        <v>28</v>
      </c>
      <c r="D35" s="8">
        <v>2.41</v>
      </c>
      <c r="E35" s="12">
        <v>0</v>
      </c>
      <c r="F35" s="8">
        <v>0</v>
      </c>
      <c r="G35" s="12">
        <v>28</v>
      </c>
      <c r="H35" s="8">
        <v>3.52</v>
      </c>
      <c r="I35" s="12">
        <v>0</v>
      </c>
    </row>
    <row r="36" spans="2:9" ht="15" customHeight="1" x14ac:dyDescent="0.2">
      <c r="B36" t="s">
        <v>100</v>
      </c>
      <c r="C36" s="12">
        <v>27</v>
      </c>
      <c r="D36" s="8">
        <v>2.33</v>
      </c>
      <c r="E36" s="12">
        <v>9</v>
      </c>
      <c r="F36" s="8">
        <v>2.5</v>
      </c>
      <c r="G36" s="12">
        <v>18</v>
      </c>
      <c r="H36" s="8">
        <v>2.2599999999999998</v>
      </c>
      <c r="I36" s="12">
        <v>0</v>
      </c>
    </row>
    <row r="37" spans="2:9" ht="15" customHeight="1" x14ac:dyDescent="0.2">
      <c r="B37" t="s">
        <v>104</v>
      </c>
      <c r="C37" s="12">
        <v>27</v>
      </c>
      <c r="D37" s="8">
        <v>2.33</v>
      </c>
      <c r="E37" s="12">
        <v>12</v>
      </c>
      <c r="F37" s="8">
        <v>3.33</v>
      </c>
      <c r="G37" s="12">
        <v>14</v>
      </c>
      <c r="H37" s="8">
        <v>1.76</v>
      </c>
      <c r="I37" s="12">
        <v>1</v>
      </c>
    </row>
    <row r="38" spans="2:9" ht="15" customHeight="1" x14ac:dyDescent="0.2">
      <c r="B38" t="s">
        <v>110</v>
      </c>
      <c r="C38" s="12">
        <v>27</v>
      </c>
      <c r="D38" s="8">
        <v>2.33</v>
      </c>
      <c r="E38" s="12">
        <v>7</v>
      </c>
      <c r="F38" s="8">
        <v>1.94</v>
      </c>
      <c r="G38" s="12">
        <v>20</v>
      </c>
      <c r="H38" s="8">
        <v>2.52</v>
      </c>
      <c r="I38" s="12">
        <v>0</v>
      </c>
    </row>
    <row r="39" spans="2:9" ht="15" customHeight="1" x14ac:dyDescent="0.2">
      <c r="B39" t="s">
        <v>117</v>
      </c>
      <c r="C39" s="12">
        <v>22</v>
      </c>
      <c r="D39" s="8">
        <v>1.9</v>
      </c>
      <c r="E39" s="12">
        <v>3</v>
      </c>
      <c r="F39" s="8">
        <v>0.83</v>
      </c>
      <c r="G39" s="12">
        <v>19</v>
      </c>
      <c r="H39" s="8">
        <v>2.39</v>
      </c>
      <c r="I39" s="12">
        <v>0</v>
      </c>
    </row>
    <row r="40" spans="2:9" ht="15" customHeight="1" x14ac:dyDescent="0.2">
      <c r="B40" t="s">
        <v>120</v>
      </c>
      <c r="C40" s="12">
        <v>20</v>
      </c>
      <c r="D40" s="8">
        <v>1.72</v>
      </c>
      <c r="E40" s="12">
        <v>6</v>
      </c>
      <c r="F40" s="8">
        <v>1.67</v>
      </c>
      <c r="G40" s="12">
        <v>14</v>
      </c>
      <c r="H40" s="8">
        <v>1.76</v>
      </c>
      <c r="I40" s="12">
        <v>0</v>
      </c>
    </row>
    <row r="41" spans="2:9" ht="15" customHeight="1" x14ac:dyDescent="0.2">
      <c r="B41" t="s">
        <v>116</v>
      </c>
      <c r="C41" s="12">
        <v>20</v>
      </c>
      <c r="D41" s="8">
        <v>1.72</v>
      </c>
      <c r="E41" s="12">
        <v>9</v>
      </c>
      <c r="F41" s="8">
        <v>2.5</v>
      </c>
      <c r="G41" s="12">
        <v>11</v>
      </c>
      <c r="H41" s="8">
        <v>1.38</v>
      </c>
      <c r="I41" s="12">
        <v>0</v>
      </c>
    </row>
    <row r="42" spans="2:9" ht="15" customHeight="1" x14ac:dyDescent="0.2">
      <c r="B42" t="s">
        <v>107</v>
      </c>
      <c r="C42" s="12">
        <v>19</v>
      </c>
      <c r="D42" s="8">
        <v>1.64</v>
      </c>
      <c r="E42" s="12">
        <v>0</v>
      </c>
      <c r="F42" s="8">
        <v>0</v>
      </c>
      <c r="G42" s="12">
        <v>19</v>
      </c>
      <c r="H42" s="8">
        <v>2.39</v>
      </c>
      <c r="I42" s="12">
        <v>0</v>
      </c>
    </row>
    <row r="43" spans="2:9" ht="15" customHeight="1" x14ac:dyDescent="0.2">
      <c r="B43" t="s">
        <v>119</v>
      </c>
      <c r="C43" s="12">
        <v>16</v>
      </c>
      <c r="D43" s="8">
        <v>1.38</v>
      </c>
      <c r="E43" s="12">
        <v>1</v>
      </c>
      <c r="F43" s="8">
        <v>0.28000000000000003</v>
      </c>
      <c r="G43" s="12">
        <v>15</v>
      </c>
      <c r="H43" s="8">
        <v>1.89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167</v>
      </c>
      <c r="C47" s="12">
        <v>41</v>
      </c>
      <c r="D47" s="8">
        <v>3.53</v>
      </c>
      <c r="E47" s="12">
        <v>18</v>
      </c>
      <c r="F47" s="8">
        <v>5</v>
      </c>
      <c r="G47" s="12">
        <v>23</v>
      </c>
      <c r="H47" s="8">
        <v>2.89</v>
      </c>
      <c r="I47" s="12">
        <v>0</v>
      </c>
    </row>
    <row r="48" spans="2:9" ht="15" customHeight="1" x14ac:dyDescent="0.2">
      <c r="B48" t="s">
        <v>173</v>
      </c>
      <c r="C48" s="12">
        <v>40</v>
      </c>
      <c r="D48" s="8">
        <v>3.45</v>
      </c>
      <c r="E48" s="12">
        <v>32</v>
      </c>
      <c r="F48" s="8">
        <v>8.89</v>
      </c>
      <c r="G48" s="12">
        <v>8</v>
      </c>
      <c r="H48" s="8">
        <v>1.01</v>
      </c>
      <c r="I48" s="12">
        <v>0</v>
      </c>
    </row>
    <row r="49" spans="2:9" ht="15" customHeight="1" x14ac:dyDescent="0.2">
      <c r="B49" t="s">
        <v>161</v>
      </c>
      <c r="C49" s="12">
        <v>32</v>
      </c>
      <c r="D49" s="8">
        <v>2.76</v>
      </c>
      <c r="E49" s="12">
        <v>1</v>
      </c>
      <c r="F49" s="8">
        <v>0.28000000000000003</v>
      </c>
      <c r="G49" s="12">
        <v>31</v>
      </c>
      <c r="H49" s="8">
        <v>3.9</v>
      </c>
      <c r="I49" s="12">
        <v>0</v>
      </c>
    </row>
    <row r="50" spans="2:9" ht="15" customHeight="1" x14ac:dyDescent="0.2">
      <c r="B50" t="s">
        <v>160</v>
      </c>
      <c r="C50" s="12">
        <v>31</v>
      </c>
      <c r="D50" s="8">
        <v>2.67</v>
      </c>
      <c r="E50" s="12">
        <v>3</v>
      </c>
      <c r="F50" s="8">
        <v>0.83</v>
      </c>
      <c r="G50" s="12">
        <v>28</v>
      </c>
      <c r="H50" s="8">
        <v>3.52</v>
      </c>
      <c r="I50" s="12">
        <v>0</v>
      </c>
    </row>
    <row r="51" spans="2:9" ht="15" customHeight="1" x14ac:dyDescent="0.2">
      <c r="B51" t="s">
        <v>172</v>
      </c>
      <c r="C51" s="12">
        <v>29</v>
      </c>
      <c r="D51" s="8">
        <v>2.5</v>
      </c>
      <c r="E51" s="12">
        <v>28</v>
      </c>
      <c r="F51" s="8">
        <v>7.78</v>
      </c>
      <c r="G51" s="12">
        <v>1</v>
      </c>
      <c r="H51" s="8">
        <v>0.13</v>
      </c>
      <c r="I51" s="12">
        <v>0</v>
      </c>
    </row>
    <row r="52" spans="2:9" ht="15" customHeight="1" x14ac:dyDescent="0.2">
      <c r="B52" t="s">
        <v>163</v>
      </c>
      <c r="C52" s="12">
        <v>27</v>
      </c>
      <c r="D52" s="8">
        <v>2.33</v>
      </c>
      <c r="E52" s="12">
        <v>7</v>
      </c>
      <c r="F52" s="8">
        <v>1.94</v>
      </c>
      <c r="G52" s="12">
        <v>20</v>
      </c>
      <c r="H52" s="8">
        <v>2.52</v>
      </c>
      <c r="I52" s="12">
        <v>0</v>
      </c>
    </row>
    <row r="53" spans="2:9" ht="15" customHeight="1" x14ac:dyDescent="0.2">
      <c r="B53" t="s">
        <v>159</v>
      </c>
      <c r="C53" s="12">
        <v>26</v>
      </c>
      <c r="D53" s="8">
        <v>2.2400000000000002</v>
      </c>
      <c r="E53" s="12">
        <v>6</v>
      </c>
      <c r="F53" s="8">
        <v>1.67</v>
      </c>
      <c r="G53" s="12">
        <v>20</v>
      </c>
      <c r="H53" s="8">
        <v>2.52</v>
      </c>
      <c r="I53" s="12">
        <v>0</v>
      </c>
    </row>
    <row r="54" spans="2:9" ht="15" customHeight="1" x14ac:dyDescent="0.2">
      <c r="B54" t="s">
        <v>177</v>
      </c>
      <c r="C54" s="12">
        <v>26</v>
      </c>
      <c r="D54" s="8">
        <v>2.2400000000000002</v>
      </c>
      <c r="E54" s="12">
        <v>2</v>
      </c>
      <c r="F54" s="8">
        <v>0.56000000000000005</v>
      </c>
      <c r="G54" s="12">
        <v>24</v>
      </c>
      <c r="H54" s="8">
        <v>3.02</v>
      </c>
      <c r="I54" s="12">
        <v>0</v>
      </c>
    </row>
    <row r="55" spans="2:9" ht="15" customHeight="1" x14ac:dyDescent="0.2">
      <c r="B55" t="s">
        <v>166</v>
      </c>
      <c r="C55" s="12">
        <v>25</v>
      </c>
      <c r="D55" s="8">
        <v>2.16</v>
      </c>
      <c r="E55" s="12">
        <v>2</v>
      </c>
      <c r="F55" s="8">
        <v>0.56000000000000005</v>
      </c>
      <c r="G55" s="12">
        <v>23</v>
      </c>
      <c r="H55" s="8">
        <v>2.89</v>
      </c>
      <c r="I55" s="12">
        <v>0</v>
      </c>
    </row>
    <row r="56" spans="2:9" ht="15" customHeight="1" x14ac:dyDescent="0.2">
      <c r="B56" t="s">
        <v>174</v>
      </c>
      <c r="C56" s="12">
        <v>24</v>
      </c>
      <c r="D56" s="8">
        <v>2.0699999999999998</v>
      </c>
      <c r="E56" s="12">
        <v>18</v>
      </c>
      <c r="F56" s="8">
        <v>5</v>
      </c>
      <c r="G56" s="12">
        <v>6</v>
      </c>
      <c r="H56" s="8">
        <v>0.75</v>
      </c>
      <c r="I56" s="12">
        <v>0</v>
      </c>
    </row>
    <row r="57" spans="2:9" ht="15" customHeight="1" x14ac:dyDescent="0.2">
      <c r="B57" t="s">
        <v>181</v>
      </c>
      <c r="C57" s="12">
        <v>23</v>
      </c>
      <c r="D57" s="8">
        <v>1.98</v>
      </c>
      <c r="E57" s="12">
        <v>2</v>
      </c>
      <c r="F57" s="8">
        <v>0.56000000000000005</v>
      </c>
      <c r="G57" s="12">
        <v>21</v>
      </c>
      <c r="H57" s="8">
        <v>2.64</v>
      </c>
      <c r="I57" s="12">
        <v>0</v>
      </c>
    </row>
    <row r="58" spans="2:9" ht="15" customHeight="1" x14ac:dyDescent="0.2">
      <c r="B58" t="s">
        <v>175</v>
      </c>
      <c r="C58" s="12">
        <v>23</v>
      </c>
      <c r="D58" s="8">
        <v>1.98</v>
      </c>
      <c r="E58" s="12">
        <v>22</v>
      </c>
      <c r="F58" s="8">
        <v>6.11</v>
      </c>
      <c r="G58" s="12">
        <v>1</v>
      </c>
      <c r="H58" s="8">
        <v>0.13</v>
      </c>
      <c r="I58" s="12">
        <v>0</v>
      </c>
    </row>
    <row r="59" spans="2:9" ht="15" customHeight="1" x14ac:dyDescent="0.2">
      <c r="B59" t="s">
        <v>158</v>
      </c>
      <c r="C59" s="12">
        <v>21</v>
      </c>
      <c r="D59" s="8">
        <v>1.81</v>
      </c>
      <c r="E59" s="12">
        <v>3</v>
      </c>
      <c r="F59" s="8">
        <v>0.83</v>
      </c>
      <c r="G59" s="12">
        <v>18</v>
      </c>
      <c r="H59" s="8">
        <v>2.2599999999999998</v>
      </c>
      <c r="I59" s="12">
        <v>0</v>
      </c>
    </row>
    <row r="60" spans="2:9" ht="15" customHeight="1" x14ac:dyDescent="0.2">
      <c r="B60" t="s">
        <v>182</v>
      </c>
      <c r="C60" s="12">
        <v>20</v>
      </c>
      <c r="D60" s="8">
        <v>1.72</v>
      </c>
      <c r="E60" s="12">
        <v>4</v>
      </c>
      <c r="F60" s="8">
        <v>1.1100000000000001</v>
      </c>
      <c r="G60" s="12">
        <v>16</v>
      </c>
      <c r="H60" s="8">
        <v>2.0099999999999998</v>
      </c>
      <c r="I60" s="12">
        <v>0</v>
      </c>
    </row>
    <row r="61" spans="2:9" ht="15" customHeight="1" x14ac:dyDescent="0.2">
      <c r="B61" t="s">
        <v>179</v>
      </c>
      <c r="C61" s="12">
        <v>20</v>
      </c>
      <c r="D61" s="8">
        <v>1.72</v>
      </c>
      <c r="E61" s="12">
        <v>16</v>
      </c>
      <c r="F61" s="8">
        <v>4.4400000000000004</v>
      </c>
      <c r="G61" s="12">
        <v>4</v>
      </c>
      <c r="H61" s="8">
        <v>0.5</v>
      </c>
      <c r="I61" s="12">
        <v>0</v>
      </c>
    </row>
    <row r="62" spans="2:9" ht="15" customHeight="1" x14ac:dyDescent="0.2">
      <c r="B62" t="s">
        <v>176</v>
      </c>
      <c r="C62" s="12">
        <v>20</v>
      </c>
      <c r="D62" s="8">
        <v>1.72</v>
      </c>
      <c r="E62" s="12">
        <v>9</v>
      </c>
      <c r="F62" s="8">
        <v>2.5</v>
      </c>
      <c r="G62" s="12">
        <v>11</v>
      </c>
      <c r="H62" s="8">
        <v>1.38</v>
      </c>
      <c r="I62" s="12">
        <v>0</v>
      </c>
    </row>
    <row r="63" spans="2:9" ht="15" customHeight="1" x14ac:dyDescent="0.2">
      <c r="B63" t="s">
        <v>180</v>
      </c>
      <c r="C63" s="12">
        <v>19</v>
      </c>
      <c r="D63" s="8">
        <v>1.64</v>
      </c>
      <c r="E63" s="12">
        <v>1</v>
      </c>
      <c r="F63" s="8">
        <v>0.28000000000000003</v>
      </c>
      <c r="G63" s="12">
        <v>18</v>
      </c>
      <c r="H63" s="8">
        <v>2.2599999999999998</v>
      </c>
      <c r="I63" s="12">
        <v>0</v>
      </c>
    </row>
    <row r="64" spans="2:9" ht="15" customHeight="1" x14ac:dyDescent="0.2">
      <c r="B64" t="s">
        <v>165</v>
      </c>
      <c r="C64" s="12">
        <v>18</v>
      </c>
      <c r="D64" s="8">
        <v>1.55</v>
      </c>
      <c r="E64" s="12">
        <v>0</v>
      </c>
      <c r="F64" s="8">
        <v>0</v>
      </c>
      <c r="G64" s="12">
        <v>18</v>
      </c>
      <c r="H64" s="8">
        <v>2.2599999999999998</v>
      </c>
      <c r="I64" s="12">
        <v>0</v>
      </c>
    </row>
    <row r="65" spans="2:9" ht="15" customHeight="1" x14ac:dyDescent="0.2">
      <c r="B65" t="s">
        <v>164</v>
      </c>
      <c r="C65" s="12">
        <v>17</v>
      </c>
      <c r="D65" s="8">
        <v>1.47</v>
      </c>
      <c r="E65" s="12">
        <v>9</v>
      </c>
      <c r="F65" s="8">
        <v>2.5</v>
      </c>
      <c r="G65" s="12">
        <v>8</v>
      </c>
      <c r="H65" s="8">
        <v>1.01</v>
      </c>
      <c r="I65" s="12">
        <v>0</v>
      </c>
    </row>
    <row r="66" spans="2:9" ht="15" customHeight="1" x14ac:dyDescent="0.2">
      <c r="B66" t="s">
        <v>157</v>
      </c>
      <c r="C66" s="12">
        <v>16</v>
      </c>
      <c r="D66" s="8">
        <v>1.38</v>
      </c>
      <c r="E66" s="12">
        <v>1</v>
      </c>
      <c r="F66" s="8">
        <v>0.28000000000000003</v>
      </c>
      <c r="G66" s="12">
        <v>15</v>
      </c>
      <c r="H66" s="8">
        <v>1.89</v>
      </c>
      <c r="I66" s="12">
        <v>0</v>
      </c>
    </row>
    <row r="67" spans="2:9" ht="15" customHeight="1" x14ac:dyDescent="0.2">
      <c r="B67" t="s">
        <v>168</v>
      </c>
      <c r="C67" s="12">
        <v>16</v>
      </c>
      <c r="D67" s="8">
        <v>1.38</v>
      </c>
      <c r="E67" s="12">
        <v>0</v>
      </c>
      <c r="F67" s="8">
        <v>0</v>
      </c>
      <c r="G67" s="12">
        <v>16</v>
      </c>
      <c r="H67" s="8">
        <v>2.0099999999999998</v>
      </c>
      <c r="I67" s="12">
        <v>0</v>
      </c>
    </row>
    <row r="69" spans="2:9" ht="15" customHeight="1" x14ac:dyDescent="0.2">
      <c r="B69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61439-F7AC-403B-A22C-CA3B28784E16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337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98</v>
      </c>
      <c r="D6" s="8">
        <v>25.86</v>
      </c>
      <c r="E6" s="12">
        <v>60</v>
      </c>
      <c r="F6" s="8">
        <v>23.44</v>
      </c>
      <c r="G6" s="12">
        <v>38</v>
      </c>
      <c r="H6" s="8">
        <v>32.479999999999997</v>
      </c>
      <c r="I6" s="12">
        <v>0</v>
      </c>
    </row>
    <row r="7" spans="2:9" ht="15" customHeight="1" x14ac:dyDescent="0.2">
      <c r="B7" t="s">
        <v>76</v>
      </c>
      <c r="C7" s="12">
        <v>56</v>
      </c>
      <c r="D7" s="8">
        <v>14.78</v>
      </c>
      <c r="E7" s="12">
        <v>29</v>
      </c>
      <c r="F7" s="8">
        <v>11.33</v>
      </c>
      <c r="G7" s="12">
        <v>27</v>
      </c>
      <c r="H7" s="8">
        <v>23.08</v>
      </c>
      <c r="I7" s="12">
        <v>0</v>
      </c>
    </row>
    <row r="8" spans="2:9" ht="15" customHeight="1" x14ac:dyDescent="0.2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79</v>
      </c>
      <c r="C10" s="12">
        <v>6</v>
      </c>
      <c r="D10" s="8">
        <v>1.58</v>
      </c>
      <c r="E10" s="12">
        <v>1</v>
      </c>
      <c r="F10" s="8">
        <v>0.39</v>
      </c>
      <c r="G10" s="12">
        <v>5</v>
      </c>
      <c r="H10" s="8">
        <v>4.2699999999999996</v>
      </c>
      <c r="I10" s="12">
        <v>0</v>
      </c>
    </row>
    <row r="11" spans="2:9" ht="15" customHeight="1" x14ac:dyDescent="0.2">
      <c r="B11" t="s">
        <v>80</v>
      </c>
      <c r="C11" s="12">
        <v>79</v>
      </c>
      <c r="D11" s="8">
        <v>20.84</v>
      </c>
      <c r="E11" s="12">
        <v>52</v>
      </c>
      <c r="F11" s="8">
        <v>20.309999999999999</v>
      </c>
      <c r="G11" s="12">
        <v>26</v>
      </c>
      <c r="H11" s="8">
        <v>22.22</v>
      </c>
      <c r="I11" s="12">
        <v>1</v>
      </c>
    </row>
    <row r="12" spans="2:9" ht="15" customHeight="1" x14ac:dyDescent="0.2">
      <c r="B12" t="s">
        <v>81</v>
      </c>
      <c r="C12" s="12">
        <v>2</v>
      </c>
      <c r="D12" s="8">
        <v>0.53</v>
      </c>
      <c r="E12" s="12">
        <v>0</v>
      </c>
      <c r="F12" s="8">
        <v>0</v>
      </c>
      <c r="G12" s="12">
        <v>2</v>
      </c>
      <c r="H12" s="8">
        <v>1.71</v>
      </c>
      <c r="I12" s="12">
        <v>0</v>
      </c>
    </row>
    <row r="13" spans="2:9" ht="15" customHeight="1" x14ac:dyDescent="0.2">
      <c r="B13" t="s">
        <v>82</v>
      </c>
      <c r="C13" s="12">
        <v>4</v>
      </c>
      <c r="D13" s="8">
        <v>1.06</v>
      </c>
      <c r="E13" s="12">
        <v>1</v>
      </c>
      <c r="F13" s="8">
        <v>0.39</v>
      </c>
      <c r="G13" s="12">
        <v>3</v>
      </c>
      <c r="H13" s="8">
        <v>2.56</v>
      </c>
      <c r="I13" s="12">
        <v>0</v>
      </c>
    </row>
    <row r="14" spans="2:9" ht="15" customHeight="1" x14ac:dyDescent="0.2">
      <c r="B14" t="s">
        <v>83</v>
      </c>
      <c r="C14" s="12">
        <v>14</v>
      </c>
      <c r="D14" s="8">
        <v>3.69</v>
      </c>
      <c r="E14" s="12">
        <v>9</v>
      </c>
      <c r="F14" s="8">
        <v>3.52</v>
      </c>
      <c r="G14" s="12">
        <v>5</v>
      </c>
      <c r="H14" s="8">
        <v>4.2699999999999996</v>
      </c>
      <c r="I14" s="12">
        <v>0</v>
      </c>
    </row>
    <row r="15" spans="2:9" ht="15" customHeight="1" x14ac:dyDescent="0.2">
      <c r="B15" t="s">
        <v>84</v>
      </c>
      <c r="C15" s="12">
        <v>49</v>
      </c>
      <c r="D15" s="8">
        <v>12.93</v>
      </c>
      <c r="E15" s="12">
        <v>46</v>
      </c>
      <c r="F15" s="8">
        <v>17.97</v>
      </c>
      <c r="G15" s="12">
        <v>3</v>
      </c>
      <c r="H15" s="8">
        <v>2.56</v>
      </c>
      <c r="I15" s="12">
        <v>0</v>
      </c>
    </row>
    <row r="16" spans="2:9" ht="15" customHeight="1" x14ac:dyDescent="0.2">
      <c r="B16" t="s">
        <v>85</v>
      </c>
      <c r="C16" s="12">
        <v>42</v>
      </c>
      <c r="D16" s="8">
        <v>11.08</v>
      </c>
      <c r="E16" s="12">
        <v>38</v>
      </c>
      <c r="F16" s="8">
        <v>14.84</v>
      </c>
      <c r="G16" s="12">
        <v>3</v>
      </c>
      <c r="H16" s="8">
        <v>2.56</v>
      </c>
      <c r="I16" s="12">
        <v>0</v>
      </c>
    </row>
    <row r="17" spans="2:9" ht="15" customHeight="1" x14ac:dyDescent="0.2">
      <c r="B17" t="s">
        <v>86</v>
      </c>
      <c r="C17" s="12">
        <v>6</v>
      </c>
      <c r="D17" s="8">
        <v>1.58</v>
      </c>
      <c r="E17" s="12">
        <v>4</v>
      </c>
      <c r="F17" s="8">
        <v>1.56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87</v>
      </c>
      <c r="C18" s="12">
        <v>12</v>
      </c>
      <c r="D18" s="8">
        <v>3.17</v>
      </c>
      <c r="E18" s="12">
        <v>7</v>
      </c>
      <c r="F18" s="8">
        <v>2.73</v>
      </c>
      <c r="G18" s="12">
        <v>4</v>
      </c>
      <c r="H18" s="8">
        <v>3.42</v>
      </c>
      <c r="I18" s="12">
        <v>0</v>
      </c>
    </row>
    <row r="19" spans="2:9" ht="15" customHeight="1" x14ac:dyDescent="0.2">
      <c r="B19" t="s">
        <v>88</v>
      </c>
      <c r="C19" s="12">
        <v>11</v>
      </c>
      <c r="D19" s="8">
        <v>2.9</v>
      </c>
      <c r="E19" s="12">
        <v>9</v>
      </c>
      <c r="F19" s="8">
        <v>3.52</v>
      </c>
      <c r="G19" s="12">
        <v>1</v>
      </c>
      <c r="H19" s="8">
        <v>0.85</v>
      </c>
      <c r="I19" s="12">
        <v>0</v>
      </c>
    </row>
    <row r="20" spans="2:9" ht="15" customHeight="1" x14ac:dyDescent="0.2">
      <c r="B20" s="9" t="s">
        <v>269</v>
      </c>
      <c r="C20" s="12">
        <f>SUM(LTBL_11365[総数／事業所数])</f>
        <v>379</v>
      </c>
      <c r="E20" s="12">
        <f>SUBTOTAL(109,LTBL_11365[個人／事業所数])</f>
        <v>256</v>
      </c>
      <c r="G20" s="12">
        <f>SUBTOTAL(109,LTBL_11365[法人／事業所数])</f>
        <v>117</v>
      </c>
      <c r="I20" s="12">
        <f>SUBTOTAL(109,LTBL_11365[法人以外の団体／事業所数])</f>
        <v>1</v>
      </c>
    </row>
    <row r="21" spans="2:9" ht="15" customHeight="1" x14ac:dyDescent="0.2">
      <c r="E21" s="11">
        <f>LTBL_11365[[#Totals],[個人／事業所数]]/LTBL_11365[[#Totals],[総数／事業所数]]</f>
        <v>0.67546174142480209</v>
      </c>
      <c r="G21" s="11">
        <f>LTBL_11365[[#Totals],[法人／事業所数]]/LTBL_11365[[#Totals],[総数／事業所数]]</f>
        <v>0.30870712401055411</v>
      </c>
      <c r="I21" s="11">
        <f>LTBL_11365[[#Totals],[法人以外の団体／事業所数]]/LTBL_11365[[#Totals],[総数／事業所数]]</f>
        <v>2.6385224274406332E-3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97</v>
      </c>
      <c r="C24" s="12">
        <v>53</v>
      </c>
      <c r="D24" s="8">
        <v>13.98</v>
      </c>
      <c r="E24" s="12">
        <v>27</v>
      </c>
      <c r="F24" s="8">
        <v>10.55</v>
      </c>
      <c r="G24" s="12">
        <v>26</v>
      </c>
      <c r="H24" s="8">
        <v>22.22</v>
      </c>
      <c r="I24" s="12">
        <v>0</v>
      </c>
    </row>
    <row r="25" spans="2:9" ht="15" customHeight="1" x14ac:dyDescent="0.2">
      <c r="B25" t="s">
        <v>111</v>
      </c>
      <c r="C25" s="12">
        <v>43</v>
      </c>
      <c r="D25" s="8">
        <v>11.35</v>
      </c>
      <c r="E25" s="12">
        <v>40</v>
      </c>
      <c r="F25" s="8">
        <v>15.63</v>
      </c>
      <c r="G25" s="12">
        <v>3</v>
      </c>
      <c r="H25" s="8">
        <v>2.56</v>
      </c>
      <c r="I25" s="12">
        <v>0</v>
      </c>
    </row>
    <row r="26" spans="2:9" ht="15" customHeight="1" x14ac:dyDescent="0.2">
      <c r="B26" t="s">
        <v>112</v>
      </c>
      <c r="C26" s="12">
        <v>35</v>
      </c>
      <c r="D26" s="8">
        <v>9.23</v>
      </c>
      <c r="E26" s="12">
        <v>33</v>
      </c>
      <c r="F26" s="8">
        <v>12.89</v>
      </c>
      <c r="G26" s="12">
        <v>2</v>
      </c>
      <c r="H26" s="8">
        <v>1.71</v>
      </c>
      <c r="I26" s="12">
        <v>0</v>
      </c>
    </row>
    <row r="27" spans="2:9" ht="15" customHeight="1" x14ac:dyDescent="0.2">
      <c r="B27" t="s">
        <v>98</v>
      </c>
      <c r="C27" s="12">
        <v>31</v>
      </c>
      <c r="D27" s="8">
        <v>8.18</v>
      </c>
      <c r="E27" s="12">
        <v>25</v>
      </c>
      <c r="F27" s="8">
        <v>9.77</v>
      </c>
      <c r="G27" s="12">
        <v>6</v>
      </c>
      <c r="H27" s="8">
        <v>5.13</v>
      </c>
      <c r="I27" s="12">
        <v>0</v>
      </c>
    </row>
    <row r="28" spans="2:9" ht="15" customHeight="1" x14ac:dyDescent="0.2">
      <c r="B28" t="s">
        <v>106</v>
      </c>
      <c r="C28" s="12">
        <v>22</v>
      </c>
      <c r="D28" s="8">
        <v>5.8</v>
      </c>
      <c r="E28" s="12">
        <v>19</v>
      </c>
      <c r="F28" s="8">
        <v>7.42</v>
      </c>
      <c r="G28" s="12">
        <v>3</v>
      </c>
      <c r="H28" s="8">
        <v>2.56</v>
      </c>
      <c r="I28" s="12">
        <v>0</v>
      </c>
    </row>
    <row r="29" spans="2:9" ht="15" customHeight="1" x14ac:dyDescent="0.2">
      <c r="B29" t="s">
        <v>104</v>
      </c>
      <c r="C29" s="12">
        <v>18</v>
      </c>
      <c r="D29" s="8">
        <v>4.75</v>
      </c>
      <c r="E29" s="12">
        <v>14</v>
      </c>
      <c r="F29" s="8">
        <v>5.47</v>
      </c>
      <c r="G29" s="12">
        <v>3</v>
      </c>
      <c r="H29" s="8">
        <v>2.56</v>
      </c>
      <c r="I29" s="12">
        <v>1</v>
      </c>
    </row>
    <row r="30" spans="2:9" ht="15" customHeight="1" x14ac:dyDescent="0.2">
      <c r="B30" t="s">
        <v>99</v>
      </c>
      <c r="C30" s="12">
        <v>14</v>
      </c>
      <c r="D30" s="8">
        <v>3.69</v>
      </c>
      <c r="E30" s="12">
        <v>8</v>
      </c>
      <c r="F30" s="8">
        <v>3.13</v>
      </c>
      <c r="G30" s="12">
        <v>6</v>
      </c>
      <c r="H30" s="8">
        <v>5.13</v>
      </c>
      <c r="I30" s="12">
        <v>0</v>
      </c>
    </row>
    <row r="31" spans="2:9" ht="15" customHeight="1" x14ac:dyDescent="0.2">
      <c r="B31" t="s">
        <v>105</v>
      </c>
      <c r="C31" s="12">
        <v>13</v>
      </c>
      <c r="D31" s="8">
        <v>3.43</v>
      </c>
      <c r="E31" s="12">
        <v>7</v>
      </c>
      <c r="F31" s="8">
        <v>2.73</v>
      </c>
      <c r="G31" s="12">
        <v>6</v>
      </c>
      <c r="H31" s="8">
        <v>5.13</v>
      </c>
      <c r="I31" s="12">
        <v>0</v>
      </c>
    </row>
    <row r="32" spans="2:9" ht="15" customHeight="1" x14ac:dyDescent="0.2">
      <c r="B32" t="s">
        <v>101</v>
      </c>
      <c r="C32" s="12">
        <v>11</v>
      </c>
      <c r="D32" s="8">
        <v>2.9</v>
      </c>
      <c r="E32" s="12">
        <v>3</v>
      </c>
      <c r="F32" s="8">
        <v>1.17</v>
      </c>
      <c r="G32" s="12">
        <v>8</v>
      </c>
      <c r="H32" s="8">
        <v>6.84</v>
      </c>
      <c r="I32" s="12">
        <v>0</v>
      </c>
    </row>
    <row r="33" spans="2:9" ht="15" customHeight="1" x14ac:dyDescent="0.2">
      <c r="B33" t="s">
        <v>139</v>
      </c>
      <c r="C33" s="12">
        <v>8</v>
      </c>
      <c r="D33" s="8">
        <v>2.11</v>
      </c>
      <c r="E33" s="12">
        <v>5</v>
      </c>
      <c r="F33" s="8">
        <v>1.95</v>
      </c>
      <c r="G33" s="12">
        <v>3</v>
      </c>
      <c r="H33" s="8">
        <v>2.56</v>
      </c>
      <c r="I33" s="12">
        <v>0</v>
      </c>
    </row>
    <row r="34" spans="2:9" ht="15" customHeight="1" x14ac:dyDescent="0.2">
      <c r="B34" t="s">
        <v>116</v>
      </c>
      <c r="C34" s="12">
        <v>8</v>
      </c>
      <c r="D34" s="8">
        <v>2.11</v>
      </c>
      <c r="E34" s="12">
        <v>8</v>
      </c>
      <c r="F34" s="8">
        <v>3.13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127</v>
      </c>
      <c r="C35" s="12">
        <v>7</v>
      </c>
      <c r="D35" s="8">
        <v>1.85</v>
      </c>
      <c r="E35" s="12">
        <v>3</v>
      </c>
      <c r="F35" s="8">
        <v>1.17</v>
      </c>
      <c r="G35" s="12">
        <v>4</v>
      </c>
      <c r="H35" s="8">
        <v>3.42</v>
      </c>
      <c r="I35" s="12">
        <v>0</v>
      </c>
    </row>
    <row r="36" spans="2:9" ht="15" customHeight="1" x14ac:dyDescent="0.2">
      <c r="B36" t="s">
        <v>109</v>
      </c>
      <c r="C36" s="12">
        <v>7</v>
      </c>
      <c r="D36" s="8">
        <v>1.85</v>
      </c>
      <c r="E36" s="12">
        <v>6</v>
      </c>
      <c r="F36" s="8">
        <v>2.34</v>
      </c>
      <c r="G36" s="12">
        <v>1</v>
      </c>
      <c r="H36" s="8">
        <v>0.85</v>
      </c>
      <c r="I36" s="12">
        <v>0</v>
      </c>
    </row>
    <row r="37" spans="2:9" ht="15" customHeight="1" x14ac:dyDescent="0.2">
      <c r="B37" t="s">
        <v>110</v>
      </c>
      <c r="C37" s="12">
        <v>7</v>
      </c>
      <c r="D37" s="8">
        <v>1.85</v>
      </c>
      <c r="E37" s="12">
        <v>3</v>
      </c>
      <c r="F37" s="8">
        <v>1.17</v>
      </c>
      <c r="G37" s="12">
        <v>4</v>
      </c>
      <c r="H37" s="8">
        <v>3.42</v>
      </c>
      <c r="I37" s="12">
        <v>0</v>
      </c>
    </row>
    <row r="38" spans="2:9" ht="15" customHeight="1" x14ac:dyDescent="0.2">
      <c r="B38" t="s">
        <v>115</v>
      </c>
      <c r="C38" s="12">
        <v>7</v>
      </c>
      <c r="D38" s="8">
        <v>1.85</v>
      </c>
      <c r="E38" s="12">
        <v>7</v>
      </c>
      <c r="F38" s="8">
        <v>2.73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147</v>
      </c>
      <c r="C39" s="12">
        <v>6</v>
      </c>
      <c r="D39" s="8">
        <v>1.58</v>
      </c>
      <c r="E39" s="12">
        <v>4</v>
      </c>
      <c r="F39" s="8">
        <v>1.56</v>
      </c>
      <c r="G39" s="12">
        <v>2</v>
      </c>
      <c r="H39" s="8">
        <v>1.71</v>
      </c>
      <c r="I39" s="12">
        <v>0</v>
      </c>
    </row>
    <row r="40" spans="2:9" ht="15" customHeight="1" x14ac:dyDescent="0.2">
      <c r="B40" t="s">
        <v>103</v>
      </c>
      <c r="C40" s="12">
        <v>6</v>
      </c>
      <c r="D40" s="8">
        <v>1.58</v>
      </c>
      <c r="E40" s="12">
        <v>4</v>
      </c>
      <c r="F40" s="8">
        <v>1.56</v>
      </c>
      <c r="G40" s="12">
        <v>2</v>
      </c>
      <c r="H40" s="8">
        <v>1.71</v>
      </c>
      <c r="I40" s="12">
        <v>0</v>
      </c>
    </row>
    <row r="41" spans="2:9" ht="15" customHeight="1" x14ac:dyDescent="0.2">
      <c r="B41" t="s">
        <v>114</v>
      </c>
      <c r="C41" s="12">
        <v>6</v>
      </c>
      <c r="D41" s="8">
        <v>1.58</v>
      </c>
      <c r="E41" s="12">
        <v>4</v>
      </c>
      <c r="F41" s="8">
        <v>1.56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129</v>
      </c>
      <c r="C42" s="12">
        <v>5</v>
      </c>
      <c r="D42" s="8">
        <v>1.32</v>
      </c>
      <c r="E42" s="12">
        <v>4</v>
      </c>
      <c r="F42" s="8">
        <v>1.56</v>
      </c>
      <c r="G42" s="12">
        <v>1</v>
      </c>
      <c r="H42" s="8">
        <v>0.85</v>
      </c>
      <c r="I42" s="12">
        <v>0</v>
      </c>
    </row>
    <row r="43" spans="2:9" ht="15" customHeight="1" x14ac:dyDescent="0.2">
      <c r="B43" t="s">
        <v>135</v>
      </c>
      <c r="C43" s="12">
        <v>5</v>
      </c>
      <c r="D43" s="8">
        <v>1.32</v>
      </c>
      <c r="E43" s="12">
        <v>1</v>
      </c>
      <c r="F43" s="8">
        <v>0.39</v>
      </c>
      <c r="G43" s="12">
        <v>4</v>
      </c>
      <c r="H43" s="8">
        <v>3.42</v>
      </c>
      <c r="I43" s="12">
        <v>0</v>
      </c>
    </row>
    <row r="44" spans="2:9" ht="15" customHeight="1" x14ac:dyDescent="0.2">
      <c r="B44" t="s">
        <v>141</v>
      </c>
      <c r="C44" s="12">
        <v>5</v>
      </c>
      <c r="D44" s="8">
        <v>1.32</v>
      </c>
      <c r="E44" s="12">
        <v>1</v>
      </c>
      <c r="F44" s="8">
        <v>0.39</v>
      </c>
      <c r="G44" s="12">
        <v>4</v>
      </c>
      <c r="H44" s="8">
        <v>3.42</v>
      </c>
      <c r="I44" s="12">
        <v>0</v>
      </c>
    </row>
    <row r="45" spans="2:9" ht="15" customHeight="1" x14ac:dyDescent="0.2">
      <c r="B45" t="s">
        <v>118</v>
      </c>
      <c r="C45" s="12">
        <v>5</v>
      </c>
      <c r="D45" s="8">
        <v>1.32</v>
      </c>
      <c r="E45" s="12">
        <v>0</v>
      </c>
      <c r="F45" s="8">
        <v>0</v>
      </c>
      <c r="G45" s="12">
        <v>4</v>
      </c>
      <c r="H45" s="8">
        <v>3.42</v>
      </c>
      <c r="I45" s="12">
        <v>0</v>
      </c>
    </row>
    <row r="48" spans="2:9" ht="33" customHeight="1" x14ac:dyDescent="0.2">
      <c r="B48" t="s">
        <v>271</v>
      </c>
      <c r="C48" s="10" t="s">
        <v>90</v>
      </c>
      <c r="D48" s="10" t="s">
        <v>91</v>
      </c>
      <c r="E48" s="10" t="s">
        <v>92</v>
      </c>
      <c r="F48" s="10" t="s">
        <v>93</v>
      </c>
      <c r="G48" s="10" t="s">
        <v>94</v>
      </c>
      <c r="H48" s="10" t="s">
        <v>95</v>
      </c>
      <c r="I48" s="10" t="s">
        <v>96</v>
      </c>
    </row>
    <row r="49" spans="2:9" ht="15" customHeight="1" x14ac:dyDescent="0.2">
      <c r="B49" t="s">
        <v>159</v>
      </c>
      <c r="C49" s="12">
        <v>24</v>
      </c>
      <c r="D49" s="8">
        <v>6.33</v>
      </c>
      <c r="E49" s="12">
        <v>19</v>
      </c>
      <c r="F49" s="8">
        <v>7.42</v>
      </c>
      <c r="G49" s="12">
        <v>5</v>
      </c>
      <c r="H49" s="8">
        <v>4.2699999999999996</v>
      </c>
      <c r="I49" s="12">
        <v>0</v>
      </c>
    </row>
    <row r="50" spans="2:9" ht="15" customHeight="1" x14ac:dyDescent="0.2">
      <c r="B50" t="s">
        <v>157</v>
      </c>
      <c r="C50" s="12">
        <v>19</v>
      </c>
      <c r="D50" s="8">
        <v>5.01</v>
      </c>
      <c r="E50" s="12">
        <v>5</v>
      </c>
      <c r="F50" s="8">
        <v>1.95</v>
      </c>
      <c r="G50" s="12">
        <v>14</v>
      </c>
      <c r="H50" s="8">
        <v>11.97</v>
      </c>
      <c r="I50" s="12">
        <v>0</v>
      </c>
    </row>
    <row r="51" spans="2:9" ht="15" customHeight="1" x14ac:dyDescent="0.2">
      <c r="B51" t="s">
        <v>173</v>
      </c>
      <c r="C51" s="12">
        <v>19</v>
      </c>
      <c r="D51" s="8">
        <v>5.01</v>
      </c>
      <c r="E51" s="12">
        <v>18</v>
      </c>
      <c r="F51" s="8">
        <v>7.03</v>
      </c>
      <c r="G51" s="12">
        <v>1</v>
      </c>
      <c r="H51" s="8">
        <v>0.85</v>
      </c>
      <c r="I51" s="12">
        <v>0</v>
      </c>
    </row>
    <row r="52" spans="2:9" ht="15" customHeight="1" x14ac:dyDescent="0.2">
      <c r="B52" t="s">
        <v>172</v>
      </c>
      <c r="C52" s="12">
        <v>14</v>
      </c>
      <c r="D52" s="8">
        <v>3.69</v>
      </c>
      <c r="E52" s="12">
        <v>14</v>
      </c>
      <c r="F52" s="8">
        <v>5.47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169</v>
      </c>
      <c r="C53" s="12">
        <v>11</v>
      </c>
      <c r="D53" s="8">
        <v>2.9</v>
      </c>
      <c r="E53" s="12">
        <v>11</v>
      </c>
      <c r="F53" s="8">
        <v>4.3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216</v>
      </c>
      <c r="C54" s="12">
        <v>9</v>
      </c>
      <c r="D54" s="8">
        <v>2.37</v>
      </c>
      <c r="E54" s="12">
        <v>7</v>
      </c>
      <c r="F54" s="8">
        <v>2.73</v>
      </c>
      <c r="G54" s="12">
        <v>2</v>
      </c>
      <c r="H54" s="8">
        <v>1.71</v>
      </c>
      <c r="I54" s="12">
        <v>0</v>
      </c>
    </row>
    <row r="55" spans="2:9" ht="15" customHeight="1" x14ac:dyDescent="0.2">
      <c r="B55" t="s">
        <v>160</v>
      </c>
      <c r="C55" s="12">
        <v>9</v>
      </c>
      <c r="D55" s="8">
        <v>2.37</v>
      </c>
      <c r="E55" s="12">
        <v>5</v>
      </c>
      <c r="F55" s="8">
        <v>1.95</v>
      </c>
      <c r="G55" s="12">
        <v>4</v>
      </c>
      <c r="H55" s="8">
        <v>3.42</v>
      </c>
      <c r="I55" s="12">
        <v>0</v>
      </c>
    </row>
    <row r="56" spans="2:9" ht="15" customHeight="1" x14ac:dyDescent="0.2">
      <c r="B56" t="s">
        <v>204</v>
      </c>
      <c r="C56" s="12">
        <v>8</v>
      </c>
      <c r="D56" s="8">
        <v>2.11</v>
      </c>
      <c r="E56" s="12">
        <v>3</v>
      </c>
      <c r="F56" s="8">
        <v>1.17</v>
      </c>
      <c r="G56" s="12">
        <v>5</v>
      </c>
      <c r="H56" s="8">
        <v>4.2699999999999996</v>
      </c>
      <c r="I56" s="12">
        <v>0</v>
      </c>
    </row>
    <row r="57" spans="2:9" ht="15" customHeight="1" x14ac:dyDescent="0.2">
      <c r="B57" t="s">
        <v>163</v>
      </c>
      <c r="C57" s="12">
        <v>8</v>
      </c>
      <c r="D57" s="8">
        <v>2.11</v>
      </c>
      <c r="E57" s="12">
        <v>4</v>
      </c>
      <c r="F57" s="8">
        <v>1.56</v>
      </c>
      <c r="G57" s="12">
        <v>4</v>
      </c>
      <c r="H57" s="8">
        <v>3.42</v>
      </c>
      <c r="I57" s="12">
        <v>0</v>
      </c>
    </row>
    <row r="58" spans="2:9" ht="15" customHeight="1" x14ac:dyDescent="0.2">
      <c r="B58" t="s">
        <v>205</v>
      </c>
      <c r="C58" s="12">
        <v>8</v>
      </c>
      <c r="D58" s="8">
        <v>2.11</v>
      </c>
      <c r="E58" s="12">
        <v>6</v>
      </c>
      <c r="F58" s="8">
        <v>2.34</v>
      </c>
      <c r="G58" s="12">
        <v>2</v>
      </c>
      <c r="H58" s="8">
        <v>1.71</v>
      </c>
      <c r="I58" s="12">
        <v>0</v>
      </c>
    </row>
    <row r="59" spans="2:9" ht="15" customHeight="1" x14ac:dyDescent="0.2">
      <c r="B59" t="s">
        <v>170</v>
      </c>
      <c r="C59" s="12">
        <v>8</v>
      </c>
      <c r="D59" s="8">
        <v>2.11</v>
      </c>
      <c r="E59" s="12">
        <v>8</v>
      </c>
      <c r="F59" s="8">
        <v>3.13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176</v>
      </c>
      <c r="C60" s="12">
        <v>8</v>
      </c>
      <c r="D60" s="8">
        <v>2.11</v>
      </c>
      <c r="E60" s="12">
        <v>8</v>
      </c>
      <c r="F60" s="8">
        <v>3.13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158</v>
      </c>
      <c r="C61" s="12">
        <v>7</v>
      </c>
      <c r="D61" s="8">
        <v>1.85</v>
      </c>
      <c r="E61" s="12">
        <v>1</v>
      </c>
      <c r="F61" s="8">
        <v>0.39</v>
      </c>
      <c r="G61" s="12">
        <v>6</v>
      </c>
      <c r="H61" s="8">
        <v>5.13</v>
      </c>
      <c r="I61" s="12">
        <v>0</v>
      </c>
    </row>
    <row r="62" spans="2:9" ht="15" customHeight="1" x14ac:dyDescent="0.2">
      <c r="B62" t="s">
        <v>206</v>
      </c>
      <c r="C62" s="12">
        <v>6</v>
      </c>
      <c r="D62" s="8">
        <v>1.58</v>
      </c>
      <c r="E62" s="12">
        <v>5</v>
      </c>
      <c r="F62" s="8">
        <v>1.95</v>
      </c>
      <c r="G62" s="12">
        <v>1</v>
      </c>
      <c r="H62" s="8">
        <v>0.85</v>
      </c>
      <c r="I62" s="12">
        <v>0</v>
      </c>
    </row>
    <row r="63" spans="2:9" ht="15" customHeight="1" x14ac:dyDescent="0.2">
      <c r="B63" t="s">
        <v>191</v>
      </c>
      <c r="C63" s="12">
        <v>6</v>
      </c>
      <c r="D63" s="8">
        <v>1.58</v>
      </c>
      <c r="E63" s="12">
        <v>6</v>
      </c>
      <c r="F63" s="8">
        <v>2.34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175</v>
      </c>
      <c r="C64" s="12">
        <v>6</v>
      </c>
      <c r="D64" s="8">
        <v>1.58</v>
      </c>
      <c r="E64" s="12">
        <v>6</v>
      </c>
      <c r="F64" s="8">
        <v>2.34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227</v>
      </c>
      <c r="C65" s="12">
        <v>5</v>
      </c>
      <c r="D65" s="8">
        <v>1.32</v>
      </c>
      <c r="E65" s="12">
        <v>5</v>
      </c>
      <c r="F65" s="8">
        <v>1.95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238</v>
      </c>
      <c r="C66" s="12">
        <v>5</v>
      </c>
      <c r="D66" s="8">
        <v>1.32</v>
      </c>
      <c r="E66" s="12">
        <v>4</v>
      </c>
      <c r="F66" s="8">
        <v>1.56</v>
      </c>
      <c r="G66" s="12">
        <v>1</v>
      </c>
      <c r="H66" s="8">
        <v>0.85</v>
      </c>
      <c r="I66" s="12">
        <v>0</v>
      </c>
    </row>
    <row r="67" spans="2:9" ht="15" customHeight="1" x14ac:dyDescent="0.2">
      <c r="B67" t="s">
        <v>239</v>
      </c>
      <c r="C67" s="12">
        <v>5</v>
      </c>
      <c r="D67" s="8">
        <v>1.32</v>
      </c>
      <c r="E67" s="12">
        <v>2</v>
      </c>
      <c r="F67" s="8">
        <v>0.78</v>
      </c>
      <c r="G67" s="12">
        <v>3</v>
      </c>
      <c r="H67" s="8">
        <v>2.56</v>
      </c>
      <c r="I67" s="12">
        <v>0</v>
      </c>
    </row>
    <row r="68" spans="2:9" ht="15" customHeight="1" x14ac:dyDescent="0.2">
      <c r="B68" t="s">
        <v>188</v>
      </c>
      <c r="C68" s="12">
        <v>5</v>
      </c>
      <c r="D68" s="8">
        <v>1.32</v>
      </c>
      <c r="E68" s="12">
        <v>3</v>
      </c>
      <c r="F68" s="8">
        <v>1.17</v>
      </c>
      <c r="G68" s="12">
        <v>2</v>
      </c>
      <c r="H68" s="8">
        <v>1.71</v>
      </c>
      <c r="I68" s="12">
        <v>0</v>
      </c>
    </row>
    <row r="69" spans="2:9" ht="15" customHeight="1" x14ac:dyDescent="0.2">
      <c r="B69" t="s">
        <v>162</v>
      </c>
      <c r="C69" s="12">
        <v>5</v>
      </c>
      <c r="D69" s="8">
        <v>1.32</v>
      </c>
      <c r="E69" s="12">
        <v>5</v>
      </c>
      <c r="F69" s="8">
        <v>1.95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203</v>
      </c>
      <c r="C70" s="12">
        <v>5</v>
      </c>
      <c r="D70" s="8">
        <v>1.32</v>
      </c>
      <c r="E70" s="12">
        <v>3</v>
      </c>
      <c r="F70" s="8">
        <v>1.17</v>
      </c>
      <c r="G70" s="12">
        <v>2</v>
      </c>
      <c r="H70" s="8">
        <v>1.71</v>
      </c>
      <c r="I70" s="12">
        <v>0</v>
      </c>
    </row>
    <row r="71" spans="2:9" ht="15" customHeight="1" x14ac:dyDescent="0.2">
      <c r="B71" t="s">
        <v>225</v>
      </c>
      <c r="C71" s="12">
        <v>5</v>
      </c>
      <c r="D71" s="8">
        <v>1.32</v>
      </c>
      <c r="E71" s="12">
        <v>5</v>
      </c>
      <c r="F71" s="8">
        <v>1.95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164</v>
      </c>
      <c r="C72" s="12">
        <v>5</v>
      </c>
      <c r="D72" s="8">
        <v>1.32</v>
      </c>
      <c r="E72" s="12">
        <v>5</v>
      </c>
      <c r="F72" s="8">
        <v>1.95</v>
      </c>
      <c r="G72" s="12">
        <v>0</v>
      </c>
      <c r="H72" s="8">
        <v>0</v>
      </c>
      <c r="I72" s="12">
        <v>0</v>
      </c>
    </row>
    <row r="74" spans="2:9" ht="15" customHeight="1" x14ac:dyDescent="0.2">
      <c r="B74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4DB18-678E-4F6D-A81C-A009CE391043}">
  <sheetPr>
    <pageSetUpPr fitToPage="1"/>
  </sheetPr>
  <dimension ref="B2:I12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338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23</v>
      </c>
      <c r="D6" s="8">
        <v>23</v>
      </c>
      <c r="E6" s="12">
        <v>17</v>
      </c>
      <c r="F6" s="8">
        <v>24.29</v>
      </c>
      <c r="G6" s="12">
        <v>6</v>
      </c>
      <c r="H6" s="8">
        <v>26.09</v>
      </c>
      <c r="I6" s="12">
        <v>0</v>
      </c>
    </row>
    <row r="7" spans="2:9" ht="15" customHeight="1" x14ac:dyDescent="0.2">
      <c r="B7" t="s">
        <v>76</v>
      </c>
      <c r="C7" s="12">
        <v>25</v>
      </c>
      <c r="D7" s="8">
        <v>25</v>
      </c>
      <c r="E7" s="12">
        <v>16</v>
      </c>
      <c r="F7" s="8">
        <v>22.86</v>
      </c>
      <c r="G7" s="12">
        <v>9</v>
      </c>
      <c r="H7" s="8">
        <v>39.130000000000003</v>
      </c>
      <c r="I7" s="12">
        <v>0</v>
      </c>
    </row>
    <row r="8" spans="2:9" ht="15" customHeight="1" x14ac:dyDescent="0.2">
      <c r="B8" t="s">
        <v>77</v>
      </c>
      <c r="C8" s="12">
        <v>1</v>
      </c>
      <c r="D8" s="8">
        <v>1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78</v>
      </c>
      <c r="C9" s="12">
        <v>1</v>
      </c>
      <c r="D9" s="8">
        <v>1</v>
      </c>
      <c r="E9" s="12">
        <v>1</v>
      </c>
      <c r="F9" s="8">
        <v>1.43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79</v>
      </c>
      <c r="C10" s="12">
        <v>2</v>
      </c>
      <c r="D10" s="8">
        <v>2</v>
      </c>
      <c r="E10" s="12">
        <v>0</v>
      </c>
      <c r="F10" s="8">
        <v>0</v>
      </c>
      <c r="G10" s="12">
        <v>1</v>
      </c>
      <c r="H10" s="8">
        <v>4.3499999999999996</v>
      </c>
      <c r="I10" s="12">
        <v>0</v>
      </c>
    </row>
    <row r="11" spans="2:9" ht="15" customHeight="1" x14ac:dyDescent="0.2">
      <c r="B11" t="s">
        <v>80</v>
      </c>
      <c r="C11" s="12">
        <v>15</v>
      </c>
      <c r="D11" s="8">
        <v>15</v>
      </c>
      <c r="E11" s="12">
        <v>13</v>
      </c>
      <c r="F11" s="8">
        <v>18.57</v>
      </c>
      <c r="G11" s="12">
        <v>2</v>
      </c>
      <c r="H11" s="8">
        <v>8.6999999999999993</v>
      </c>
      <c r="I11" s="12">
        <v>0</v>
      </c>
    </row>
    <row r="12" spans="2:9" ht="15" customHeight="1" x14ac:dyDescent="0.2">
      <c r="B12" t="s">
        <v>81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82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83</v>
      </c>
      <c r="C14" s="12">
        <v>4</v>
      </c>
      <c r="D14" s="8">
        <v>4</v>
      </c>
      <c r="E14" s="12">
        <v>1</v>
      </c>
      <c r="F14" s="8">
        <v>1.43</v>
      </c>
      <c r="G14" s="12">
        <v>3</v>
      </c>
      <c r="H14" s="8">
        <v>13.04</v>
      </c>
      <c r="I14" s="12">
        <v>0</v>
      </c>
    </row>
    <row r="15" spans="2:9" ht="15" customHeight="1" x14ac:dyDescent="0.2">
      <c r="B15" t="s">
        <v>84</v>
      </c>
      <c r="C15" s="12">
        <v>8</v>
      </c>
      <c r="D15" s="8">
        <v>8</v>
      </c>
      <c r="E15" s="12">
        <v>8</v>
      </c>
      <c r="F15" s="8">
        <v>11.43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85</v>
      </c>
      <c r="C16" s="12">
        <v>8</v>
      </c>
      <c r="D16" s="8">
        <v>8</v>
      </c>
      <c r="E16" s="12">
        <v>8</v>
      </c>
      <c r="F16" s="8">
        <v>11.43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86</v>
      </c>
      <c r="C17" s="12">
        <v>2</v>
      </c>
      <c r="D17" s="8">
        <v>2</v>
      </c>
      <c r="E17" s="12">
        <v>1</v>
      </c>
      <c r="F17" s="8">
        <v>1.43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87</v>
      </c>
      <c r="C18" s="12">
        <v>6</v>
      </c>
      <c r="D18" s="8">
        <v>6</v>
      </c>
      <c r="E18" s="12">
        <v>2</v>
      </c>
      <c r="F18" s="8">
        <v>2.86</v>
      </c>
      <c r="G18" s="12">
        <v>1</v>
      </c>
      <c r="H18" s="8">
        <v>4.3499999999999996</v>
      </c>
      <c r="I18" s="12">
        <v>0</v>
      </c>
    </row>
    <row r="19" spans="2:9" ht="15" customHeight="1" x14ac:dyDescent="0.2">
      <c r="B19" t="s">
        <v>88</v>
      </c>
      <c r="C19" s="12">
        <v>5</v>
      </c>
      <c r="D19" s="8">
        <v>5</v>
      </c>
      <c r="E19" s="12">
        <v>3</v>
      </c>
      <c r="F19" s="8">
        <v>4.29</v>
      </c>
      <c r="G19" s="12">
        <v>1</v>
      </c>
      <c r="H19" s="8">
        <v>4.3499999999999996</v>
      </c>
      <c r="I19" s="12">
        <v>0</v>
      </c>
    </row>
    <row r="20" spans="2:9" ht="15" customHeight="1" x14ac:dyDescent="0.2">
      <c r="B20" s="9" t="s">
        <v>269</v>
      </c>
      <c r="C20" s="12">
        <f>SUM(LTBL_11369[総数／事業所数])</f>
        <v>100</v>
      </c>
      <c r="E20" s="12">
        <f>SUBTOTAL(109,LTBL_11369[個人／事業所数])</f>
        <v>70</v>
      </c>
      <c r="G20" s="12">
        <f>SUBTOTAL(109,LTBL_11369[法人／事業所数])</f>
        <v>23</v>
      </c>
      <c r="I20" s="12">
        <f>SUBTOTAL(109,LTBL_11369[法人以外の団体／事業所数])</f>
        <v>0</v>
      </c>
    </row>
    <row r="21" spans="2:9" ht="15" customHeight="1" x14ac:dyDescent="0.2">
      <c r="E21" s="11">
        <f>LTBL_11369[[#Totals],[個人／事業所数]]/LTBL_11369[[#Totals],[総数／事業所数]]</f>
        <v>0.7</v>
      </c>
      <c r="G21" s="11">
        <f>LTBL_11369[[#Totals],[法人／事業所数]]/LTBL_11369[[#Totals],[総数／事業所数]]</f>
        <v>0.23</v>
      </c>
      <c r="I21" s="11">
        <f>LTBL_11369[[#Totals],[法人以外の団体／事業所数]]/LTBL_11369[[#Totals],[総数／事業所数]]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97</v>
      </c>
      <c r="C24" s="12">
        <v>15</v>
      </c>
      <c r="D24" s="8">
        <v>15</v>
      </c>
      <c r="E24" s="12">
        <v>10</v>
      </c>
      <c r="F24" s="8">
        <v>14.29</v>
      </c>
      <c r="G24" s="12">
        <v>5</v>
      </c>
      <c r="H24" s="8">
        <v>21.74</v>
      </c>
      <c r="I24" s="12">
        <v>0</v>
      </c>
    </row>
    <row r="25" spans="2:9" ht="15" customHeight="1" x14ac:dyDescent="0.2">
      <c r="B25" t="s">
        <v>111</v>
      </c>
      <c r="C25" s="12">
        <v>8</v>
      </c>
      <c r="D25" s="8">
        <v>8</v>
      </c>
      <c r="E25" s="12">
        <v>8</v>
      </c>
      <c r="F25" s="8">
        <v>11.43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106</v>
      </c>
      <c r="C26" s="12">
        <v>7</v>
      </c>
      <c r="D26" s="8">
        <v>7</v>
      </c>
      <c r="E26" s="12">
        <v>6</v>
      </c>
      <c r="F26" s="8">
        <v>8.57</v>
      </c>
      <c r="G26" s="12">
        <v>1</v>
      </c>
      <c r="H26" s="8">
        <v>4.3499999999999996</v>
      </c>
      <c r="I26" s="12">
        <v>0</v>
      </c>
    </row>
    <row r="27" spans="2:9" ht="15" customHeight="1" x14ac:dyDescent="0.2">
      <c r="B27" t="s">
        <v>112</v>
      </c>
      <c r="C27" s="12">
        <v>7</v>
      </c>
      <c r="D27" s="8">
        <v>7</v>
      </c>
      <c r="E27" s="12">
        <v>7</v>
      </c>
      <c r="F27" s="8">
        <v>10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98</v>
      </c>
      <c r="C28" s="12">
        <v>6</v>
      </c>
      <c r="D28" s="8">
        <v>6</v>
      </c>
      <c r="E28" s="12">
        <v>5</v>
      </c>
      <c r="F28" s="8">
        <v>7.14</v>
      </c>
      <c r="G28" s="12">
        <v>1</v>
      </c>
      <c r="H28" s="8">
        <v>4.3499999999999996</v>
      </c>
      <c r="I28" s="12">
        <v>0</v>
      </c>
    </row>
    <row r="29" spans="2:9" ht="15" customHeight="1" x14ac:dyDescent="0.2">
      <c r="B29" t="s">
        <v>104</v>
      </c>
      <c r="C29" s="12">
        <v>6</v>
      </c>
      <c r="D29" s="8">
        <v>6</v>
      </c>
      <c r="E29" s="12">
        <v>6</v>
      </c>
      <c r="F29" s="8">
        <v>8.57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100</v>
      </c>
      <c r="C30" s="12">
        <v>5</v>
      </c>
      <c r="D30" s="8">
        <v>5</v>
      </c>
      <c r="E30" s="12">
        <v>4</v>
      </c>
      <c r="F30" s="8">
        <v>5.71</v>
      </c>
      <c r="G30" s="12">
        <v>1</v>
      </c>
      <c r="H30" s="8">
        <v>4.3499999999999996</v>
      </c>
      <c r="I30" s="12">
        <v>0</v>
      </c>
    </row>
    <row r="31" spans="2:9" ht="15" customHeight="1" x14ac:dyDescent="0.2">
      <c r="B31" t="s">
        <v>126</v>
      </c>
      <c r="C31" s="12">
        <v>4</v>
      </c>
      <c r="D31" s="8">
        <v>4</v>
      </c>
      <c r="E31" s="12">
        <v>2</v>
      </c>
      <c r="F31" s="8">
        <v>2.86</v>
      </c>
      <c r="G31" s="12">
        <v>2</v>
      </c>
      <c r="H31" s="8">
        <v>8.6999999999999993</v>
      </c>
      <c r="I31" s="12">
        <v>0</v>
      </c>
    </row>
    <row r="32" spans="2:9" ht="15" customHeight="1" x14ac:dyDescent="0.2">
      <c r="B32" t="s">
        <v>135</v>
      </c>
      <c r="C32" s="12">
        <v>4</v>
      </c>
      <c r="D32" s="8">
        <v>4</v>
      </c>
      <c r="E32" s="12">
        <v>1</v>
      </c>
      <c r="F32" s="8">
        <v>1.43</v>
      </c>
      <c r="G32" s="12">
        <v>3</v>
      </c>
      <c r="H32" s="8">
        <v>13.04</v>
      </c>
      <c r="I32" s="12">
        <v>0</v>
      </c>
    </row>
    <row r="33" spans="2:9" ht="15" customHeight="1" x14ac:dyDescent="0.2">
      <c r="B33" t="s">
        <v>118</v>
      </c>
      <c r="C33" s="12">
        <v>4</v>
      </c>
      <c r="D33" s="8">
        <v>4</v>
      </c>
      <c r="E33" s="12">
        <v>0</v>
      </c>
      <c r="F33" s="8">
        <v>0</v>
      </c>
      <c r="G33" s="12">
        <v>1</v>
      </c>
      <c r="H33" s="8">
        <v>4.3499999999999996</v>
      </c>
      <c r="I33" s="12">
        <v>0</v>
      </c>
    </row>
    <row r="34" spans="2:9" ht="15" customHeight="1" x14ac:dyDescent="0.2">
      <c r="B34" t="s">
        <v>139</v>
      </c>
      <c r="C34" s="12">
        <v>3</v>
      </c>
      <c r="D34" s="8">
        <v>3</v>
      </c>
      <c r="E34" s="12">
        <v>3</v>
      </c>
      <c r="F34" s="8">
        <v>4.29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116</v>
      </c>
      <c r="C35" s="12">
        <v>3</v>
      </c>
      <c r="D35" s="8">
        <v>3</v>
      </c>
      <c r="E35" s="12">
        <v>2</v>
      </c>
      <c r="F35" s="8">
        <v>2.86</v>
      </c>
      <c r="G35" s="12">
        <v>1</v>
      </c>
      <c r="H35" s="8">
        <v>4.3499999999999996</v>
      </c>
      <c r="I35" s="12">
        <v>0</v>
      </c>
    </row>
    <row r="36" spans="2:9" ht="15" customHeight="1" x14ac:dyDescent="0.2">
      <c r="B36" t="s">
        <v>99</v>
      </c>
      <c r="C36" s="12">
        <v>2</v>
      </c>
      <c r="D36" s="8">
        <v>2</v>
      </c>
      <c r="E36" s="12">
        <v>2</v>
      </c>
      <c r="F36" s="8">
        <v>2.86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143</v>
      </c>
      <c r="C37" s="12">
        <v>2</v>
      </c>
      <c r="D37" s="8">
        <v>2</v>
      </c>
      <c r="E37" s="12">
        <v>2</v>
      </c>
      <c r="F37" s="8">
        <v>2.86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120</v>
      </c>
      <c r="C38" s="12">
        <v>2</v>
      </c>
      <c r="D38" s="8">
        <v>2</v>
      </c>
      <c r="E38" s="12">
        <v>1</v>
      </c>
      <c r="F38" s="8">
        <v>1.43</v>
      </c>
      <c r="G38" s="12">
        <v>1</v>
      </c>
      <c r="H38" s="8">
        <v>4.3499999999999996</v>
      </c>
      <c r="I38" s="12">
        <v>0</v>
      </c>
    </row>
    <row r="39" spans="2:9" ht="15" customHeight="1" x14ac:dyDescent="0.2">
      <c r="B39" t="s">
        <v>109</v>
      </c>
      <c r="C39" s="12">
        <v>2</v>
      </c>
      <c r="D39" s="8">
        <v>2</v>
      </c>
      <c r="E39" s="12">
        <v>1</v>
      </c>
      <c r="F39" s="8">
        <v>1.43</v>
      </c>
      <c r="G39" s="12">
        <v>1</v>
      </c>
      <c r="H39" s="8">
        <v>4.3499999999999996</v>
      </c>
      <c r="I39" s="12">
        <v>0</v>
      </c>
    </row>
    <row r="40" spans="2:9" ht="15" customHeight="1" x14ac:dyDescent="0.2">
      <c r="B40" t="s">
        <v>110</v>
      </c>
      <c r="C40" s="12">
        <v>2</v>
      </c>
      <c r="D40" s="8">
        <v>2</v>
      </c>
      <c r="E40" s="12">
        <v>0</v>
      </c>
      <c r="F40" s="8">
        <v>0</v>
      </c>
      <c r="G40" s="12">
        <v>2</v>
      </c>
      <c r="H40" s="8">
        <v>8.6999999999999993</v>
      </c>
      <c r="I40" s="12">
        <v>0</v>
      </c>
    </row>
    <row r="41" spans="2:9" ht="15" customHeight="1" x14ac:dyDescent="0.2">
      <c r="B41" t="s">
        <v>114</v>
      </c>
      <c r="C41" s="12">
        <v>2</v>
      </c>
      <c r="D41" s="8">
        <v>2</v>
      </c>
      <c r="E41" s="12">
        <v>1</v>
      </c>
      <c r="F41" s="8">
        <v>1.43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115</v>
      </c>
      <c r="C42" s="12">
        <v>2</v>
      </c>
      <c r="D42" s="8">
        <v>2</v>
      </c>
      <c r="E42" s="12">
        <v>2</v>
      </c>
      <c r="F42" s="8">
        <v>2.86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138</v>
      </c>
      <c r="C43" s="12">
        <v>1</v>
      </c>
      <c r="D43" s="8">
        <v>1</v>
      </c>
      <c r="E43" s="12">
        <v>1</v>
      </c>
      <c r="F43" s="8">
        <v>1.43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131</v>
      </c>
      <c r="C44" s="12">
        <v>1</v>
      </c>
      <c r="D44" s="8">
        <v>1</v>
      </c>
      <c r="E44" s="12">
        <v>1</v>
      </c>
      <c r="F44" s="8">
        <v>1.43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148</v>
      </c>
      <c r="C45" s="12">
        <v>1</v>
      </c>
      <c r="D45" s="8">
        <v>1</v>
      </c>
      <c r="E45" s="12">
        <v>1</v>
      </c>
      <c r="F45" s="8">
        <v>1.43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149</v>
      </c>
      <c r="C46" s="12">
        <v>1</v>
      </c>
      <c r="D46" s="8">
        <v>1</v>
      </c>
      <c r="E46" s="12">
        <v>0</v>
      </c>
      <c r="F46" s="8">
        <v>0</v>
      </c>
      <c r="G46" s="12">
        <v>1</v>
      </c>
      <c r="H46" s="8">
        <v>4.3499999999999996</v>
      </c>
      <c r="I46" s="12">
        <v>0</v>
      </c>
    </row>
    <row r="47" spans="2:9" ht="15" customHeight="1" x14ac:dyDescent="0.2">
      <c r="B47" t="s">
        <v>125</v>
      </c>
      <c r="C47" s="12">
        <v>1</v>
      </c>
      <c r="D47" s="8">
        <v>1</v>
      </c>
      <c r="E47" s="12">
        <v>0</v>
      </c>
      <c r="F47" s="8">
        <v>0</v>
      </c>
      <c r="G47" s="12">
        <v>1</v>
      </c>
      <c r="H47" s="8">
        <v>4.3499999999999996</v>
      </c>
      <c r="I47" s="12">
        <v>0</v>
      </c>
    </row>
    <row r="48" spans="2:9" ht="15" customHeight="1" x14ac:dyDescent="0.2">
      <c r="B48" t="s">
        <v>150</v>
      </c>
      <c r="C48" s="12">
        <v>1</v>
      </c>
      <c r="D48" s="8">
        <v>1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151</v>
      </c>
      <c r="C49" s="12">
        <v>1</v>
      </c>
      <c r="D49" s="8">
        <v>1</v>
      </c>
      <c r="E49" s="12">
        <v>1</v>
      </c>
      <c r="F49" s="8">
        <v>1.43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141</v>
      </c>
      <c r="C50" s="12">
        <v>1</v>
      </c>
      <c r="D50" s="8">
        <v>1</v>
      </c>
      <c r="E50" s="12">
        <v>0</v>
      </c>
      <c r="F50" s="8">
        <v>0</v>
      </c>
      <c r="G50" s="12">
        <v>1</v>
      </c>
      <c r="H50" s="8">
        <v>4.3499999999999996</v>
      </c>
      <c r="I50" s="12">
        <v>0</v>
      </c>
    </row>
    <row r="51" spans="2:9" ht="15" customHeight="1" x14ac:dyDescent="0.2">
      <c r="B51" t="s">
        <v>152</v>
      </c>
      <c r="C51" s="12">
        <v>1</v>
      </c>
      <c r="D51" s="8">
        <v>1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105</v>
      </c>
      <c r="C52" s="12">
        <v>1</v>
      </c>
      <c r="D52" s="8">
        <v>1</v>
      </c>
      <c r="E52" s="12">
        <v>1</v>
      </c>
      <c r="F52" s="8">
        <v>1.43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122</v>
      </c>
      <c r="C53" s="12">
        <v>1</v>
      </c>
      <c r="D53" s="8">
        <v>1</v>
      </c>
      <c r="E53" s="12">
        <v>0</v>
      </c>
      <c r="F53" s="8">
        <v>0</v>
      </c>
      <c r="G53" s="12">
        <v>1</v>
      </c>
      <c r="H53" s="8">
        <v>4.3499999999999996</v>
      </c>
      <c r="I53" s="12">
        <v>0</v>
      </c>
    </row>
    <row r="54" spans="2:9" ht="15" customHeight="1" x14ac:dyDescent="0.2">
      <c r="B54" t="s">
        <v>124</v>
      </c>
      <c r="C54" s="12">
        <v>1</v>
      </c>
      <c r="D54" s="8">
        <v>1</v>
      </c>
      <c r="E54" s="12">
        <v>1</v>
      </c>
      <c r="F54" s="8">
        <v>1.43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119</v>
      </c>
      <c r="C55" s="12">
        <v>1</v>
      </c>
      <c r="D55" s="8">
        <v>1</v>
      </c>
      <c r="E55" s="12">
        <v>1</v>
      </c>
      <c r="F55" s="8">
        <v>1.43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153</v>
      </c>
      <c r="C56" s="12">
        <v>1</v>
      </c>
      <c r="D56" s="8">
        <v>1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9" spans="2:9" ht="33" customHeight="1" x14ac:dyDescent="0.2">
      <c r="B59" t="s">
        <v>271</v>
      </c>
      <c r="C59" s="10" t="s">
        <v>90</v>
      </c>
      <c r="D59" s="10" t="s">
        <v>91</v>
      </c>
      <c r="E59" s="10" t="s">
        <v>92</v>
      </c>
      <c r="F59" s="10" t="s">
        <v>93</v>
      </c>
      <c r="G59" s="10" t="s">
        <v>94</v>
      </c>
      <c r="H59" s="10" t="s">
        <v>95</v>
      </c>
      <c r="I59" s="10" t="s">
        <v>96</v>
      </c>
    </row>
    <row r="60" spans="2:9" ht="15" customHeight="1" x14ac:dyDescent="0.2">
      <c r="B60" t="s">
        <v>159</v>
      </c>
      <c r="C60" s="12">
        <v>10</v>
      </c>
      <c r="D60" s="8">
        <v>10</v>
      </c>
      <c r="E60" s="12">
        <v>9</v>
      </c>
      <c r="F60" s="8">
        <v>12.86</v>
      </c>
      <c r="G60" s="12">
        <v>1</v>
      </c>
      <c r="H60" s="8">
        <v>4.3499999999999996</v>
      </c>
      <c r="I60" s="12">
        <v>0</v>
      </c>
    </row>
    <row r="61" spans="2:9" ht="15" customHeight="1" x14ac:dyDescent="0.2">
      <c r="B61" t="s">
        <v>162</v>
      </c>
      <c r="C61" s="12">
        <v>5</v>
      </c>
      <c r="D61" s="8">
        <v>5</v>
      </c>
      <c r="E61" s="12">
        <v>5</v>
      </c>
      <c r="F61" s="8">
        <v>7.14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173</v>
      </c>
      <c r="C62" s="12">
        <v>5</v>
      </c>
      <c r="D62" s="8">
        <v>5</v>
      </c>
      <c r="E62" s="12">
        <v>5</v>
      </c>
      <c r="F62" s="8">
        <v>7.14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248</v>
      </c>
      <c r="C63" s="12">
        <v>4</v>
      </c>
      <c r="D63" s="8">
        <v>4</v>
      </c>
      <c r="E63" s="12">
        <v>2</v>
      </c>
      <c r="F63" s="8">
        <v>2.86</v>
      </c>
      <c r="G63" s="12">
        <v>2</v>
      </c>
      <c r="H63" s="8">
        <v>8.6999999999999993</v>
      </c>
      <c r="I63" s="12">
        <v>0</v>
      </c>
    </row>
    <row r="64" spans="2:9" ht="15" customHeight="1" x14ac:dyDescent="0.2">
      <c r="B64" t="s">
        <v>164</v>
      </c>
      <c r="C64" s="12">
        <v>4</v>
      </c>
      <c r="D64" s="8">
        <v>4</v>
      </c>
      <c r="E64" s="12">
        <v>4</v>
      </c>
      <c r="F64" s="8">
        <v>5.71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220</v>
      </c>
      <c r="C65" s="12">
        <v>3</v>
      </c>
      <c r="D65" s="8">
        <v>3</v>
      </c>
      <c r="E65" s="12">
        <v>0</v>
      </c>
      <c r="F65" s="8">
        <v>0</v>
      </c>
      <c r="G65" s="12">
        <v>3</v>
      </c>
      <c r="H65" s="8">
        <v>13.04</v>
      </c>
      <c r="I65" s="12">
        <v>0</v>
      </c>
    </row>
    <row r="66" spans="2:9" ht="15" customHeight="1" x14ac:dyDescent="0.2">
      <c r="B66" t="s">
        <v>169</v>
      </c>
      <c r="C66" s="12">
        <v>3</v>
      </c>
      <c r="D66" s="8">
        <v>3</v>
      </c>
      <c r="E66" s="12">
        <v>3</v>
      </c>
      <c r="F66" s="8">
        <v>4.29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206</v>
      </c>
      <c r="C67" s="12">
        <v>3</v>
      </c>
      <c r="D67" s="8">
        <v>3</v>
      </c>
      <c r="E67" s="12">
        <v>3</v>
      </c>
      <c r="F67" s="8">
        <v>4.29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176</v>
      </c>
      <c r="C68" s="12">
        <v>3</v>
      </c>
      <c r="D68" s="8">
        <v>3</v>
      </c>
      <c r="E68" s="12">
        <v>2</v>
      </c>
      <c r="F68" s="8">
        <v>2.86</v>
      </c>
      <c r="G68" s="12">
        <v>1</v>
      </c>
      <c r="H68" s="8">
        <v>4.3499999999999996</v>
      </c>
      <c r="I68" s="12">
        <v>0</v>
      </c>
    </row>
    <row r="69" spans="2:9" ht="15" customHeight="1" x14ac:dyDescent="0.2">
      <c r="B69" t="s">
        <v>157</v>
      </c>
      <c r="C69" s="12">
        <v>2</v>
      </c>
      <c r="D69" s="8">
        <v>2</v>
      </c>
      <c r="E69" s="12">
        <v>0</v>
      </c>
      <c r="F69" s="8">
        <v>0</v>
      </c>
      <c r="G69" s="12">
        <v>2</v>
      </c>
      <c r="H69" s="8">
        <v>8.6999999999999993</v>
      </c>
      <c r="I69" s="12">
        <v>0</v>
      </c>
    </row>
    <row r="70" spans="2:9" ht="15" customHeight="1" x14ac:dyDescent="0.2">
      <c r="B70" t="s">
        <v>160</v>
      </c>
      <c r="C70" s="12">
        <v>2</v>
      </c>
      <c r="D70" s="8">
        <v>2</v>
      </c>
      <c r="E70" s="12">
        <v>2</v>
      </c>
      <c r="F70" s="8">
        <v>2.86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242</v>
      </c>
      <c r="C71" s="12">
        <v>2</v>
      </c>
      <c r="D71" s="8">
        <v>2</v>
      </c>
      <c r="E71" s="12">
        <v>2</v>
      </c>
      <c r="F71" s="8">
        <v>2.86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200</v>
      </c>
      <c r="C72" s="12">
        <v>2</v>
      </c>
      <c r="D72" s="8">
        <v>2</v>
      </c>
      <c r="E72" s="12">
        <v>1</v>
      </c>
      <c r="F72" s="8">
        <v>1.43</v>
      </c>
      <c r="G72" s="12">
        <v>1</v>
      </c>
      <c r="H72" s="8">
        <v>4.3499999999999996</v>
      </c>
      <c r="I72" s="12">
        <v>0</v>
      </c>
    </row>
    <row r="73" spans="2:9" ht="15" customHeight="1" x14ac:dyDescent="0.2">
      <c r="B73" t="s">
        <v>247</v>
      </c>
      <c r="C73" s="12">
        <v>2</v>
      </c>
      <c r="D73" s="8">
        <v>2</v>
      </c>
      <c r="E73" s="12">
        <v>2</v>
      </c>
      <c r="F73" s="8">
        <v>2.86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214</v>
      </c>
      <c r="C74" s="12">
        <v>2</v>
      </c>
      <c r="D74" s="8">
        <v>2</v>
      </c>
      <c r="E74" s="12">
        <v>1</v>
      </c>
      <c r="F74" s="8">
        <v>1.43</v>
      </c>
      <c r="G74" s="12">
        <v>1</v>
      </c>
      <c r="H74" s="8">
        <v>4.3499999999999996</v>
      </c>
      <c r="I74" s="12">
        <v>0</v>
      </c>
    </row>
    <row r="75" spans="2:9" ht="15" customHeight="1" x14ac:dyDescent="0.2">
      <c r="B75" t="s">
        <v>225</v>
      </c>
      <c r="C75" s="12">
        <v>2</v>
      </c>
      <c r="D75" s="8">
        <v>2</v>
      </c>
      <c r="E75" s="12">
        <v>2</v>
      </c>
      <c r="F75" s="8">
        <v>2.86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175</v>
      </c>
      <c r="C76" s="12">
        <v>2</v>
      </c>
      <c r="D76" s="8">
        <v>2</v>
      </c>
      <c r="E76" s="12">
        <v>2</v>
      </c>
      <c r="F76" s="8">
        <v>2.86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196</v>
      </c>
      <c r="C77" s="12">
        <v>2</v>
      </c>
      <c r="D77" s="8">
        <v>2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260</v>
      </c>
      <c r="C78" s="12">
        <v>2</v>
      </c>
      <c r="D78" s="8">
        <v>2</v>
      </c>
      <c r="E78" s="12">
        <v>0</v>
      </c>
      <c r="F78" s="8">
        <v>0</v>
      </c>
      <c r="G78" s="12">
        <v>1</v>
      </c>
      <c r="H78" s="8">
        <v>4.3499999999999996</v>
      </c>
      <c r="I78" s="12">
        <v>0</v>
      </c>
    </row>
    <row r="79" spans="2:9" ht="15" customHeight="1" x14ac:dyDescent="0.2">
      <c r="B79" t="s">
        <v>240</v>
      </c>
      <c r="C79" s="12">
        <v>1</v>
      </c>
      <c r="D79" s="8">
        <v>1</v>
      </c>
      <c r="E79" s="12">
        <v>0</v>
      </c>
      <c r="F79" s="8">
        <v>0</v>
      </c>
      <c r="G79" s="12">
        <v>1</v>
      </c>
      <c r="H79" s="8">
        <v>4.3499999999999996</v>
      </c>
      <c r="I79" s="12">
        <v>0</v>
      </c>
    </row>
    <row r="80" spans="2:9" ht="15" customHeight="1" x14ac:dyDescent="0.2">
      <c r="B80" t="s">
        <v>158</v>
      </c>
      <c r="C80" s="12">
        <v>1</v>
      </c>
      <c r="D80" s="8">
        <v>1</v>
      </c>
      <c r="E80" s="12">
        <v>0</v>
      </c>
      <c r="F80" s="8">
        <v>0</v>
      </c>
      <c r="G80" s="12">
        <v>1</v>
      </c>
      <c r="H80" s="8">
        <v>4.3499999999999996</v>
      </c>
      <c r="I80" s="12">
        <v>0</v>
      </c>
    </row>
    <row r="81" spans="2:9" ht="15" customHeight="1" x14ac:dyDescent="0.2">
      <c r="B81" t="s">
        <v>177</v>
      </c>
      <c r="C81" s="12">
        <v>1</v>
      </c>
      <c r="D81" s="8">
        <v>1</v>
      </c>
      <c r="E81" s="12">
        <v>1</v>
      </c>
      <c r="F81" s="8">
        <v>1.43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216</v>
      </c>
      <c r="C82" s="12">
        <v>1</v>
      </c>
      <c r="D82" s="8">
        <v>1</v>
      </c>
      <c r="E82" s="12">
        <v>1</v>
      </c>
      <c r="F82" s="8">
        <v>1.43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241</v>
      </c>
      <c r="C83" s="12">
        <v>1</v>
      </c>
      <c r="D83" s="8">
        <v>1</v>
      </c>
      <c r="E83" s="12">
        <v>1</v>
      </c>
      <c r="F83" s="8">
        <v>1.43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236</v>
      </c>
      <c r="C84" s="12">
        <v>1</v>
      </c>
      <c r="D84" s="8">
        <v>1</v>
      </c>
      <c r="E84" s="12">
        <v>1</v>
      </c>
      <c r="F84" s="8">
        <v>1.43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181</v>
      </c>
      <c r="C85" s="12">
        <v>1</v>
      </c>
      <c r="D85" s="8">
        <v>1</v>
      </c>
      <c r="E85" s="12">
        <v>1</v>
      </c>
      <c r="F85" s="8">
        <v>1.43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197</v>
      </c>
      <c r="C86" s="12">
        <v>1</v>
      </c>
      <c r="D86" s="8">
        <v>1</v>
      </c>
      <c r="E86" s="12">
        <v>1</v>
      </c>
      <c r="F86" s="8">
        <v>1.43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182</v>
      </c>
      <c r="C87" s="12">
        <v>1</v>
      </c>
      <c r="D87" s="8">
        <v>1</v>
      </c>
      <c r="E87" s="12">
        <v>0</v>
      </c>
      <c r="F87" s="8">
        <v>0</v>
      </c>
      <c r="G87" s="12">
        <v>1</v>
      </c>
      <c r="H87" s="8">
        <v>4.3499999999999996</v>
      </c>
      <c r="I87" s="12">
        <v>0</v>
      </c>
    </row>
    <row r="88" spans="2:9" ht="15" customHeight="1" x14ac:dyDescent="0.2">
      <c r="B88" t="s">
        <v>238</v>
      </c>
      <c r="C88" s="12">
        <v>1</v>
      </c>
      <c r="D88" s="8">
        <v>1</v>
      </c>
      <c r="E88" s="12">
        <v>1</v>
      </c>
      <c r="F88" s="8">
        <v>1.43</v>
      </c>
      <c r="G88" s="12">
        <v>0</v>
      </c>
      <c r="H88" s="8">
        <v>0</v>
      </c>
      <c r="I88" s="12">
        <v>0</v>
      </c>
    </row>
    <row r="89" spans="2:9" ht="15" customHeight="1" x14ac:dyDescent="0.2">
      <c r="B89" t="s">
        <v>243</v>
      </c>
      <c r="C89" s="12">
        <v>1</v>
      </c>
      <c r="D89" s="8">
        <v>1</v>
      </c>
      <c r="E89" s="12">
        <v>1</v>
      </c>
      <c r="F89" s="8">
        <v>1.43</v>
      </c>
      <c r="G89" s="12">
        <v>0</v>
      </c>
      <c r="H89" s="8">
        <v>0</v>
      </c>
      <c r="I89" s="12">
        <v>0</v>
      </c>
    </row>
    <row r="90" spans="2:9" ht="15" customHeight="1" x14ac:dyDescent="0.2">
      <c r="B90" t="s">
        <v>211</v>
      </c>
      <c r="C90" s="12">
        <v>1</v>
      </c>
      <c r="D90" s="8">
        <v>1</v>
      </c>
      <c r="E90" s="12">
        <v>1</v>
      </c>
      <c r="F90" s="8">
        <v>1.43</v>
      </c>
      <c r="G90" s="12">
        <v>0</v>
      </c>
      <c r="H90" s="8">
        <v>0</v>
      </c>
      <c r="I90" s="12">
        <v>0</v>
      </c>
    </row>
    <row r="91" spans="2:9" ht="15" customHeight="1" x14ac:dyDescent="0.2">
      <c r="B91" t="s">
        <v>244</v>
      </c>
      <c r="C91" s="12">
        <v>1</v>
      </c>
      <c r="D91" s="8">
        <v>1</v>
      </c>
      <c r="E91" s="12">
        <v>1</v>
      </c>
      <c r="F91" s="8">
        <v>1.43</v>
      </c>
      <c r="G91" s="12">
        <v>0</v>
      </c>
      <c r="H91" s="8">
        <v>0</v>
      </c>
      <c r="I91" s="12">
        <v>0</v>
      </c>
    </row>
    <row r="92" spans="2:9" ht="15" customHeight="1" x14ac:dyDescent="0.2">
      <c r="B92" t="s">
        <v>245</v>
      </c>
      <c r="C92" s="12">
        <v>1</v>
      </c>
      <c r="D92" s="8">
        <v>1</v>
      </c>
      <c r="E92" s="12">
        <v>1</v>
      </c>
      <c r="F92" s="8">
        <v>1.43</v>
      </c>
      <c r="G92" s="12">
        <v>0</v>
      </c>
      <c r="H92" s="8">
        <v>0</v>
      </c>
      <c r="I92" s="12">
        <v>0</v>
      </c>
    </row>
    <row r="93" spans="2:9" ht="15" customHeight="1" x14ac:dyDescent="0.2">
      <c r="B93" t="s">
        <v>246</v>
      </c>
      <c r="C93" s="12">
        <v>1</v>
      </c>
      <c r="D93" s="8">
        <v>1</v>
      </c>
      <c r="E93" s="12">
        <v>1</v>
      </c>
      <c r="F93" s="8">
        <v>1.43</v>
      </c>
      <c r="G93" s="12">
        <v>0</v>
      </c>
      <c r="H93" s="8">
        <v>0</v>
      </c>
      <c r="I93" s="12">
        <v>0</v>
      </c>
    </row>
    <row r="94" spans="2:9" ht="15" customHeight="1" x14ac:dyDescent="0.2">
      <c r="B94" t="s">
        <v>212</v>
      </c>
      <c r="C94" s="12">
        <v>1</v>
      </c>
      <c r="D94" s="8">
        <v>1</v>
      </c>
      <c r="E94" s="12">
        <v>1</v>
      </c>
      <c r="F94" s="8">
        <v>1.43</v>
      </c>
      <c r="G94" s="12">
        <v>0</v>
      </c>
      <c r="H94" s="8">
        <v>0</v>
      </c>
      <c r="I94" s="12">
        <v>0</v>
      </c>
    </row>
    <row r="95" spans="2:9" ht="15" customHeight="1" x14ac:dyDescent="0.2">
      <c r="B95" t="s">
        <v>249</v>
      </c>
      <c r="C95" s="12">
        <v>1</v>
      </c>
      <c r="D95" s="8">
        <v>1</v>
      </c>
      <c r="E95" s="12">
        <v>0</v>
      </c>
      <c r="F95" s="8">
        <v>0</v>
      </c>
      <c r="G95" s="12">
        <v>1</v>
      </c>
      <c r="H95" s="8">
        <v>4.3499999999999996</v>
      </c>
      <c r="I95" s="12">
        <v>0</v>
      </c>
    </row>
    <row r="96" spans="2:9" ht="15" customHeight="1" x14ac:dyDescent="0.2">
      <c r="B96" t="s">
        <v>250</v>
      </c>
      <c r="C96" s="12">
        <v>1</v>
      </c>
      <c r="D96" s="8">
        <v>1</v>
      </c>
      <c r="E96" s="12">
        <v>1</v>
      </c>
      <c r="F96" s="8">
        <v>1.43</v>
      </c>
      <c r="G96" s="12">
        <v>0</v>
      </c>
      <c r="H96" s="8">
        <v>0</v>
      </c>
      <c r="I96" s="12">
        <v>0</v>
      </c>
    </row>
    <row r="97" spans="2:9" ht="15" customHeight="1" x14ac:dyDescent="0.2">
      <c r="B97" t="s">
        <v>230</v>
      </c>
      <c r="C97" s="12">
        <v>1</v>
      </c>
      <c r="D97" s="8">
        <v>1</v>
      </c>
      <c r="E97" s="12">
        <v>0</v>
      </c>
      <c r="F97" s="8">
        <v>0</v>
      </c>
      <c r="G97" s="12">
        <v>1</v>
      </c>
      <c r="H97" s="8">
        <v>4.3499999999999996</v>
      </c>
      <c r="I97" s="12">
        <v>0</v>
      </c>
    </row>
    <row r="98" spans="2:9" ht="15" customHeight="1" x14ac:dyDescent="0.2">
      <c r="B98" t="s">
        <v>251</v>
      </c>
      <c r="C98" s="12">
        <v>1</v>
      </c>
      <c r="D98" s="8">
        <v>1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2">
      <c r="B99" t="s">
        <v>252</v>
      </c>
      <c r="C99" s="12">
        <v>1</v>
      </c>
      <c r="D99" s="8">
        <v>1</v>
      </c>
      <c r="E99" s="12">
        <v>1</v>
      </c>
      <c r="F99" s="8">
        <v>1.43</v>
      </c>
      <c r="G99" s="12">
        <v>0</v>
      </c>
      <c r="H99" s="8">
        <v>0</v>
      </c>
      <c r="I99" s="12">
        <v>0</v>
      </c>
    </row>
    <row r="100" spans="2:9" ht="15" customHeight="1" x14ac:dyDescent="0.2">
      <c r="B100" t="s">
        <v>253</v>
      </c>
      <c r="C100" s="12">
        <v>1</v>
      </c>
      <c r="D100" s="8">
        <v>1</v>
      </c>
      <c r="E100" s="12">
        <v>0</v>
      </c>
      <c r="F100" s="8">
        <v>0</v>
      </c>
      <c r="G100" s="12">
        <v>1</v>
      </c>
      <c r="H100" s="8">
        <v>4.3499999999999996</v>
      </c>
      <c r="I100" s="12">
        <v>0</v>
      </c>
    </row>
    <row r="101" spans="2:9" ht="15" customHeight="1" x14ac:dyDescent="0.2">
      <c r="B101" t="s">
        <v>254</v>
      </c>
      <c r="C101" s="12">
        <v>1</v>
      </c>
      <c r="D101" s="8">
        <v>1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2">
      <c r="B102" t="s">
        <v>224</v>
      </c>
      <c r="C102" s="12">
        <v>1</v>
      </c>
      <c r="D102" s="8">
        <v>1</v>
      </c>
      <c r="E102" s="12">
        <v>1</v>
      </c>
      <c r="F102" s="8">
        <v>1.43</v>
      </c>
      <c r="G102" s="12">
        <v>0</v>
      </c>
      <c r="H102" s="8">
        <v>0</v>
      </c>
      <c r="I102" s="12">
        <v>0</v>
      </c>
    </row>
    <row r="103" spans="2:9" ht="15" customHeight="1" x14ac:dyDescent="0.2">
      <c r="B103" t="s">
        <v>163</v>
      </c>
      <c r="C103" s="12">
        <v>1</v>
      </c>
      <c r="D103" s="8">
        <v>1</v>
      </c>
      <c r="E103" s="12">
        <v>1</v>
      </c>
      <c r="F103" s="8">
        <v>1.43</v>
      </c>
      <c r="G103" s="12">
        <v>0</v>
      </c>
      <c r="H103" s="8">
        <v>0</v>
      </c>
      <c r="I103" s="12">
        <v>0</v>
      </c>
    </row>
    <row r="104" spans="2:9" ht="15" customHeight="1" x14ac:dyDescent="0.2">
      <c r="B104" t="s">
        <v>207</v>
      </c>
      <c r="C104" s="12">
        <v>1</v>
      </c>
      <c r="D104" s="8">
        <v>1</v>
      </c>
      <c r="E104" s="12">
        <v>0</v>
      </c>
      <c r="F104" s="8">
        <v>0</v>
      </c>
      <c r="G104" s="12">
        <v>1</v>
      </c>
      <c r="H104" s="8">
        <v>4.3499999999999996</v>
      </c>
      <c r="I104" s="12">
        <v>0</v>
      </c>
    </row>
    <row r="105" spans="2:9" ht="15" customHeight="1" x14ac:dyDescent="0.2">
      <c r="B105" t="s">
        <v>217</v>
      </c>
      <c r="C105" s="12">
        <v>1</v>
      </c>
      <c r="D105" s="8">
        <v>1</v>
      </c>
      <c r="E105" s="12">
        <v>0</v>
      </c>
      <c r="F105" s="8">
        <v>0</v>
      </c>
      <c r="G105" s="12">
        <v>1</v>
      </c>
      <c r="H105" s="8">
        <v>4.3499999999999996</v>
      </c>
      <c r="I105" s="12">
        <v>0</v>
      </c>
    </row>
    <row r="106" spans="2:9" ht="15" customHeight="1" x14ac:dyDescent="0.2">
      <c r="B106" t="s">
        <v>255</v>
      </c>
      <c r="C106" s="12">
        <v>1</v>
      </c>
      <c r="D106" s="8">
        <v>1</v>
      </c>
      <c r="E106" s="12">
        <v>1</v>
      </c>
      <c r="F106" s="8">
        <v>1.43</v>
      </c>
      <c r="G106" s="12">
        <v>0</v>
      </c>
      <c r="H106" s="8">
        <v>0</v>
      </c>
      <c r="I106" s="12">
        <v>0</v>
      </c>
    </row>
    <row r="107" spans="2:9" ht="15" customHeight="1" x14ac:dyDescent="0.2">
      <c r="B107" t="s">
        <v>193</v>
      </c>
      <c r="C107" s="12">
        <v>1</v>
      </c>
      <c r="D107" s="8">
        <v>1</v>
      </c>
      <c r="E107" s="12">
        <v>0</v>
      </c>
      <c r="F107" s="8">
        <v>0</v>
      </c>
      <c r="G107" s="12">
        <v>1</v>
      </c>
      <c r="H107" s="8">
        <v>4.3499999999999996</v>
      </c>
      <c r="I107" s="12">
        <v>0</v>
      </c>
    </row>
    <row r="108" spans="2:9" ht="15" customHeight="1" x14ac:dyDescent="0.2">
      <c r="B108" t="s">
        <v>178</v>
      </c>
      <c r="C108" s="12">
        <v>1</v>
      </c>
      <c r="D108" s="8">
        <v>1</v>
      </c>
      <c r="E108" s="12">
        <v>0</v>
      </c>
      <c r="F108" s="8">
        <v>0</v>
      </c>
      <c r="G108" s="12">
        <v>1</v>
      </c>
      <c r="H108" s="8">
        <v>4.3499999999999996</v>
      </c>
      <c r="I108" s="12">
        <v>0</v>
      </c>
    </row>
    <row r="109" spans="2:9" ht="15" customHeight="1" x14ac:dyDescent="0.2">
      <c r="B109" t="s">
        <v>256</v>
      </c>
      <c r="C109" s="12">
        <v>1</v>
      </c>
      <c r="D109" s="8">
        <v>1</v>
      </c>
      <c r="E109" s="12">
        <v>0</v>
      </c>
      <c r="F109" s="8">
        <v>0</v>
      </c>
      <c r="G109" s="12">
        <v>1</v>
      </c>
      <c r="H109" s="8">
        <v>4.3499999999999996</v>
      </c>
      <c r="I109" s="12">
        <v>0</v>
      </c>
    </row>
    <row r="110" spans="2:9" ht="15" customHeight="1" x14ac:dyDescent="0.2">
      <c r="B110" t="s">
        <v>205</v>
      </c>
      <c r="C110" s="12">
        <v>1</v>
      </c>
      <c r="D110" s="8">
        <v>1</v>
      </c>
      <c r="E110" s="12">
        <v>1</v>
      </c>
      <c r="F110" s="8">
        <v>1.43</v>
      </c>
      <c r="G110" s="12">
        <v>0</v>
      </c>
      <c r="H110" s="8">
        <v>0</v>
      </c>
      <c r="I110" s="12">
        <v>0</v>
      </c>
    </row>
    <row r="111" spans="2:9" ht="15" customHeight="1" x14ac:dyDescent="0.2">
      <c r="B111" t="s">
        <v>192</v>
      </c>
      <c r="C111" s="12">
        <v>1</v>
      </c>
      <c r="D111" s="8">
        <v>1</v>
      </c>
      <c r="E111" s="12">
        <v>1</v>
      </c>
      <c r="F111" s="8">
        <v>1.43</v>
      </c>
      <c r="G111" s="12">
        <v>0</v>
      </c>
      <c r="H111" s="8">
        <v>0</v>
      </c>
      <c r="I111" s="12">
        <v>0</v>
      </c>
    </row>
    <row r="112" spans="2:9" ht="15" customHeight="1" x14ac:dyDescent="0.2">
      <c r="B112" t="s">
        <v>172</v>
      </c>
      <c r="C112" s="12">
        <v>1</v>
      </c>
      <c r="D112" s="8">
        <v>1</v>
      </c>
      <c r="E112" s="12">
        <v>1</v>
      </c>
      <c r="F112" s="8">
        <v>1.43</v>
      </c>
      <c r="G112" s="12">
        <v>0</v>
      </c>
      <c r="H112" s="8">
        <v>0</v>
      </c>
      <c r="I112" s="12">
        <v>0</v>
      </c>
    </row>
    <row r="113" spans="2:9" ht="15" customHeight="1" x14ac:dyDescent="0.2">
      <c r="B113" t="s">
        <v>257</v>
      </c>
      <c r="C113" s="12">
        <v>1</v>
      </c>
      <c r="D113" s="8">
        <v>1</v>
      </c>
      <c r="E113" s="12">
        <v>1</v>
      </c>
      <c r="F113" s="8">
        <v>1.43</v>
      </c>
      <c r="G113" s="12">
        <v>0</v>
      </c>
      <c r="H113" s="8">
        <v>0</v>
      </c>
      <c r="I113" s="12">
        <v>0</v>
      </c>
    </row>
    <row r="114" spans="2:9" ht="15" customHeight="1" x14ac:dyDescent="0.2">
      <c r="B114" t="s">
        <v>258</v>
      </c>
      <c r="C114" s="12">
        <v>1</v>
      </c>
      <c r="D114" s="8">
        <v>1</v>
      </c>
      <c r="E114" s="12">
        <v>1</v>
      </c>
      <c r="F114" s="8">
        <v>1.43</v>
      </c>
      <c r="G114" s="12">
        <v>0</v>
      </c>
      <c r="H114" s="8">
        <v>0</v>
      </c>
      <c r="I114" s="12">
        <v>0</v>
      </c>
    </row>
    <row r="115" spans="2:9" ht="15" customHeight="1" x14ac:dyDescent="0.2">
      <c r="B115" t="s">
        <v>259</v>
      </c>
      <c r="C115" s="12">
        <v>1</v>
      </c>
      <c r="D115" s="8">
        <v>1</v>
      </c>
      <c r="E115" s="12">
        <v>0</v>
      </c>
      <c r="F115" s="8">
        <v>0</v>
      </c>
      <c r="G115" s="12">
        <v>0</v>
      </c>
      <c r="H115" s="8">
        <v>0</v>
      </c>
      <c r="I115" s="12">
        <v>0</v>
      </c>
    </row>
    <row r="116" spans="2:9" ht="15" customHeight="1" x14ac:dyDescent="0.2">
      <c r="B116" t="s">
        <v>174</v>
      </c>
      <c r="C116" s="12">
        <v>1</v>
      </c>
      <c r="D116" s="8">
        <v>1</v>
      </c>
      <c r="E116" s="12">
        <v>1</v>
      </c>
      <c r="F116" s="8">
        <v>1.43</v>
      </c>
      <c r="G116" s="12">
        <v>0</v>
      </c>
      <c r="H116" s="8">
        <v>0</v>
      </c>
      <c r="I116" s="12">
        <v>0</v>
      </c>
    </row>
    <row r="117" spans="2:9" ht="15" customHeight="1" x14ac:dyDescent="0.2">
      <c r="B117" t="s">
        <v>222</v>
      </c>
      <c r="C117" s="12">
        <v>1</v>
      </c>
      <c r="D117" s="8">
        <v>1</v>
      </c>
      <c r="E117" s="12">
        <v>1</v>
      </c>
      <c r="F117" s="8">
        <v>1.43</v>
      </c>
      <c r="G117" s="12">
        <v>0</v>
      </c>
      <c r="H117" s="8">
        <v>0</v>
      </c>
      <c r="I117" s="12">
        <v>0</v>
      </c>
    </row>
    <row r="118" spans="2:9" ht="15" customHeight="1" x14ac:dyDescent="0.2">
      <c r="B118" t="s">
        <v>261</v>
      </c>
      <c r="C118" s="12">
        <v>1</v>
      </c>
      <c r="D118" s="8">
        <v>1</v>
      </c>
      <c r="E118" s="12">
        <v>0</v>
      </c>
      <c r="F118" s="8">
        <v>0</v>
      </c>
      <c r="G118" s="12">
        <v>0</v>
      </c>
      <c r="H118" s="8">
        <v>0</v>
      </c>
      <c r="I118" s="12">
        <v>0</v>
      </c>
    </row>
    <row r="120" spans="2:9" ht="15" customHeight="1" x14ac:dyDescent="0.2">
      <c r="B120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913DE-44C5-41C6-B921-C952D3E2C817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339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52</v>
      </c>
      <c r="D6" s="8">
        <v>22.13</v>
      </c>
      <c r="E6" s="12">
        <v>23</v>
      </c>
      <c r="F6" s="8">
        <v>18.850000000000001</v>
      </c>
      <c r="G6" s="12">
        <v>29</v>
      </c>
      <c r="H6" s="8">
        <v>26.36</v>
      </c>
      <c r="I6" s="12">
        <v>0</v>
      </c>
    </row>
    <row r="7" spans="2:9" ht="15" customHeight="1" x14ac:dyDescent="0.2">
      <c r="B7" t="s">
        <v>76</v>
      </c>
      <c r="C7" s="12">
        <v>40</v>
      </c>
      <c r="D7" s="8">
        <v>17.02</v>
      </c>
      <c r="E7" s="12">
        <v>11</v>
      </c>
      <c r="F7" s="8">
        <v>9.02</v>
      </c>
      <c r="G7" s="12">
        <v>29</v>
      </c>
      <c r="H7" s="8">
        <v>26.36</v>
      </c>
      <c r="I7" s="12">
        <v>0</v>
      </c>
    </row>
    <row r="8" spans="2:9" ht="15" customHeight="1" x14ac:dyDescent="0.2">
      <c r="B8" t="s">
        <v>77</v>
      </c>
      <c r="C8" s="12">
        <v>1</v>
      </c>
      <c r="D8" s="8">
        <v>0.43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78</v>
      </c>
      <c r="C9" s="12">
        <v>1</v>
      </c>
      <c r="D9" s="8">
        <v>0.43</v>
      </c>
      <c r="E9" s="12">
        <v>0</v>
      </c>
      <c r="F9" s="8">
        <v>0</v>
      </c>
      <c r="G9" s="12">
        <v>1</v>
      </c>
      <c r="H9" s="8">
        <v>0.91</v>
      </c>
      <c r="I9" s="12">
        <v>0</v>
      </c>
    </row>
    <row r="10" spans="2:9" ht="15" customHeight="1" x14ac:dyDescent="0.2">
      <c r="B10" t="s">
        <v>79</v>
      </c>
      <c r="C10" s="12">
        <v>7</v>
      </c>
      <c r="D10" s="8">
        <v>2.98</v>
      </c>
      <c r="E10" s="12">
        <v>0</v>
      </c>
      <c r="F10" s="8">
        <v>0</v>
      </c>
      <c r="G10" s="12">
        <v>7</v>
      </c>
      <c r="H10" s="8">
        <v>6.36</v>
      </c>
      <c r="I10" s="12">
        <v>0</v>
      </c>
    </row>
    <row r="11" spans="2:9" ht="15" customHeight="1" x14ac:dyDescent="0.2">
      <c r="B11" t="s">
        <v>80</v>
      </c>
      <c r="C11" s="12">
        <v>41</v>
      </c>
      <c r="D11" s="8">
        <v>17.45</v>
      </c>
      <c r="E11" s="12">
        <v>22</v>
      </c>
      <c r="F11" s="8">
        <v>18.03</v>
      </c>
      <c r="G11" s="12">
        <v>19</v>
      </c>
      <c r="H11" s="8">
        <v>17.27</v>
      </c>
      <c r="I11" s="12">
        <v>0</v>
      </c>
    </row>
    <row r="12" spans="2:9" ht="15" customHeight="1" x14ac:dyDescent="0.2">
      <c r="B12" t="s">
        <v>81</v>
      </c>
      <c r="C12" s="12">
        <v>2</v>
      </c>
      <c r="D12" s="8">
        <v>0.85</v>
      </c>
      <c r="E12" s="12">
        <v>1</v>
      </c>
      <c r="F12" s="8">
        <v>0.82</v>
      </c>
      <c r="G12" s="12">
        <v>1</v>
      </c>
      <c r="H12" s="8">
        <v>0.91</v>
      </c>
      <c r="I12" s="12">
        <v>0</v>
      </c>
    </row>
    <row r="13" spans="2:9" ht="15" customHeight="1" x14ac:dyDescent="0.2">
      <c r="B13" t="s">
        <v>82</v>
      </c>
      <c r="C13" s="12">
        <v>3</v>
      </c>
      <c r="D13" s="8">
        <v>1.28</v>
      </c>
      <c r="E13" s="12">
        <v>1</v>
      </c>
      <c r="F13" s="8">
        <v>0.82</v>
      </c>
      <c r="G13" s="12">
        <v>2</v>
      </c>
      <c r="H13" s="8">
        <v>1.82</v>
      </c>
      <c r="I13" s="12">
        <v>0</v>
      </c>
    </row>
    <row r="14" spans="2:9" ht="15" customHeight="1" x14ac:dyDescent="0.2">
      <c r="B14" t="s">
        <v>83</v>
      </c>
      <c r="C14" s="12">
        <v>5</v>
      </c>
      <c r="D14" s="8">
        <v>2.13</v>
      </c>
      <c r="E14" s="12">
        <v>2</v>
      </c>
      <c r="F14" s="8">
        <v>1.64</v>
      </c>
      <c r="G14" s="12">
        <v>3</v>
      </c>
      <c r="H14" s="8">
        <v>2.73</v>
      </c>
      <c r="I14" s="12">
        <v>0</v>
      </c>
    </row>
    <row r="15" spans="2:9" ht="15" customHeight="1" x14ac:dyDescent="0.2">
      <c r="B15" t="s">
        <v>84</v>
      </c>
      <c r="C15" s="12">
        <v>21</v>
      </c>
      <c r="D15" s="8">
        <v>8.94</v>
      </c>
      <c r="E15" s="12">
        <v>20</v>
      </c>
      <c r="F15" s="8">
        <v>16.39</v>
      </c>
      <c r="G15" s="12">
        <v>1</v>
      </c>
      <c r="H15" s="8">
        <v>0.91</v>
      </c>
      <c r="I15" s="12">
        <v>0</v>
      </c>
    </row>
    <row r="16" spans="2:9" ht="15" customHeight="1" x14ac:dyDescent="0.2">
      <c r="B16" t="s">
        <v>85</v>
      </c>
      <c r="C16" s="12">
        <v>26</v>
      </c>
      <c r="D16" s="8">
        <v>11.06</v>
      </c>
      <c r="E16" s="12">
        <v>20</v>
      </c>
      <c r="F16" s="8">
        <v>16.39</v>
      </c>
      <c r="G16" s="12">
        <v>6</v>
      </c>
      <c r="H16" s="8">
        <v>5.45</v>
      </c>
      <c r="I16" s="12">
        <v>0</v>
      </c>
    </row>
    <row r="17" spans="2:9" ht="15" customHeight="1" x14ac:dyDescent="0.2">
      <c r="B17" t="s">
        <v>86</v>
      </c>
      <c r="C17" s="12">
        <v>3</v>
      </c>
      <c r="D17" s="8">
        <v>1.28</v>
      </c>
      <c r="E17" s="12">
        <v>2</v>
      </c>
      <c r="F17" s="8">
        <v>1.64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87</v>
      </c>
      <c r="C18" s="12">
        <v>18</v>
      </c>
      <c r="D18" s="8">
        <v>7.66</v>
      </c>
      <c r="E18" s="12">
        <v>10</v>
      </c>
      <c r="F18" s="8">
        <v>8.1999999999999993</v>
      </c>
      <c r="G18" s="12">
        <v>7</v>
      </c>
      <c r="H18" s="8">
        <v>6.36</v>
      </c>
      <c r="I18" s="12">
        <v>0</v>
      </c>
    </row>
    <row r="19" spans="2:9" ht="15" customHeight="1" x14ac:dyDescent="0.2">
      <c r="B19" t="s">
        <v>88</v>
      </c>
      <c r="C19" s="12">
        <v>15</v>
      </c>
      <c r="D19" s="8">
        <v>6.38</v>
      </c>
      <c r="E19" s="12">
        <v>10</v>
      </c>
      <c r="F19" s="8">
        <v>8.1999999999999993</v>
      </c>
      <c r="G19" s="12">
        <v>5</v>
      </c>
      <c r="H19" s="8">
        <v>4.55</v>
      </c>
      <c r="I19" s="12">
        <v>0</v>
      </c>
    </row>
    <row r="20" spans="2:9" ht="15" customHeight="1" x14ac:dyDescent="0.2">
      <c r="B20" s="9" t="s">
        <v>269</v>
      </c>
      <c r="C20" s="12">
        <f>SUM(LTBL_11381[総数／事業所数])</f>
        <v>235</v>
      </c>
      <c r="E20" s="12">
        <f>SUBTOTAL(109,LTBL_11381[個人／事業所数])</f>
        <v>122</v>
      </c>
      <c r="G20" s="12">
        <f>SUBTOTAL(109,LTBL_11381[法人／事業所数])</f>
        <v>110</v>
      </c>
      <c r="I20" s="12">
        <f>SUBTOTAL(109,LTBL_11381[法人以外の団体／事業所数])</f>
        <v>0</v>
      </c>
    </row>
    <row r="21" spans="2:9" ht="15" customHeight="1" x14ac:dyDescent="0.2">
      <c r="E21" s="11">
        <f>LTBL_11381[[#Totals],[個人／事業所数]]/LTBL_11381[[#Totals],[総数／事業所数]]</f>
        <v>0.51914893617021274</v>
      </c>
      <c r="G21" s="11">
        <f>LTBL_11381[[#Totals],[法人／事業所数]]/LTBL_11381[[#Totals],[総数／事業所数]]</f>
        <v>0.46808510638297873</v>
      </c>
      <c r="I21" s="11">
        <f>LTBL_11381[[#Totals],[法人以外の団体／事業所数]]/LTBL_11381[[#Totals],[総数／事業所数]]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97</v>
      </c>
      <c r="C24" s="12">
        <v>23</v>
      </c>
      <c r="D24" s="8">
        <v>9.7899999999999991</v>
      </c>
      <c r="E24" s="12">
        <v>10</v>
      </c>
      <c r="F24" s="8">
        <v>8.1999999999999993</v>
      </c>
      <c r="G24" s="12">
        <v>13</v>
      </c>
      <c r="H24" s="8">
        <v>11.82</v>
      </c>
      <c r="I24" s="12">
        <v>0</v>
      </c>
    </row>
    <row r="25" spans="2:9" ht="15" customHeight="1" x14ac:dyDescent="0.2">
      <c r="B25" t="s">
        <v>111</v>
      </c>
      <c r="C25" s="12">
        <v>21</v>
      </c>
      <c r="D25" s="8">
        <v>8.94</v>
      </c>
      <c r="E25" s="12">
        <v>20</v>
      </c>
      <c r="F25" s="8">
        <v>16.39</v>
      </c>
      <c r="G25" s="12">
        <v>1</v>
      </c>
      <c r="H25" s="8">
        <v>0.91</v>
      </c>
      <c r="I25" s="12">
        <v>0</v>
      </c>
    </row>
    <row r="26" spans="2:9" ht="15" customHeight="1" x14ac:dyDescent="0.2">
      <c r="B26" t="s">
        <v>112</v>
      </c>
      <c r="C26" s="12">
        <v>21</v>
      </c>
      <c r="D26" s="8">
        <v>8.94</v>
      </c>
      <c r="E26" s="12">
        <v>18</v>
      </c>
      <c r="F26" s="8">
        <v>14.75</v>
      </c>
      <c r="G26" s="12">
        <v>3</v>
      </c>
      <c r="H26" s="8">
        <v>2.73</v>
      </c>
      <c r="I26" s="12">
        <v>0</v>
      </c>
    </row>
    <row r="27" spans="2:9" ht="15" customHeight="1" x14ac:dyDescent="0.2">
      <c r="B27" t="s">
        <v>98</v>
      </c>
      <c r="C27" s="12">
        <v>15</v>
      </c>
      <c r="D27" s="8">
        <v>6.38</v>
      </c>
      <c r="E27" s="12">
        <v>8</v>
      </c>
      <c r="F27" s="8">
        <v>6.56</v>
      </c>
      <c r="G27" s="12">
        <v>7</v>
      </c>
      <c r="H27" s="8">
        <v>6.36</v>
      </c>
      <c r="I27" s="12">
        <v>0</v>
      </c>
    </row>
    <row r="28" spans="2:9" ht="15" customHeight="1" x14ac:dyDescent="0.2">
      <c r="B28" t="s">
        <v>106</v>
      </c>
      <c r="C28" s="12">
        <v>15</v>
      </c>
      <c r="D28" s="8">
        <v>6.38</v>
      </c>
      <c r="E28" s="12">
        <v>8</v>
      </c>
      <c r="F28" s="8">
        <v>6.56</v>
      </c>
      <c r="G28" s="12">
        <v>7</v>
      </c>
      <c r="H28" s="8">
        <v>6.36</v>
      </c>
      <c r="I28" s="12">
        <v>0</v>
      </c>
    </row>
    <row r="29" spans="2:9" ht="15" customHeight="1" x14ac:dyDescent="0.2">
      <c r="B29" t="s">
        <v>99</v>
      </c>
      <c r="C29" s="12">
        <v>14</v>
      </c>
      <c r="D29" s="8">
        <v>5.96</v>
      </c>
      <c r="E29" s="12">
        <v>5</v>
      </c>
      <c r="F29" s="8">
        <v>4.0999999999999996</v>
      </c>
      <c r="G29" s="12">
        <v>9</v>
      </c>
      <c r="H29" s="8">
        <v>8.18</v>
      </c>
      <c r="I29" s="12">
        <v>0</v>
      </c>
    </row>
    <row r="30" spans="2:9" ht="15" customHeight="1" x14ac:dyDescent="0.2">
      <c r="B30" t="s">
        <v>115</v>
      </c>
      <c r="C30" s="12">
        <v>11</v>
      </c>
      <c r="D30" s="8">
        <v>4.68</v>
      </c>
      <c r="E30" s="12">
        <v>10</v>
      </c>
      <c r="F30" s="8">
        <v>8.1999999999999993</v>
      </c>
      <c r="G30" s="12">
        <v>1</v>
      </c>
      <c r="H30" s="8">
        <v>0.91</v>
      </c>
      <c r="I30" s="12">
        <v>0</v>
      </c>
    </row>
    <row r="31" spans="2:9" ht="15" customHeight="1" x14ac:dyDescent="0.2">
      <c r="B31" t="s">
        <v>116</v>
      </c>
      <c r="C31" s="12">
        <v>11</v>
      </c>
      <c r="D31" s="8">
        <v>4.68</v>
      </c>
      <c r="E31" s="12">
        <v>10</v>
      </c>
      <c r="F31" s="8">
        <v>8.1999999999999993</v>
      </c>
      <c r="G31" s="12">
        <v>1</v>
      </c>
      <c r="H31" s="8">
        <v>0.91</v>
      </c>
      <c r="I31" s="12">
        <v>0</v>
      </c>
    </row>
    <row r="32" spans="2:9" ht="15" customHeight="1" x14ac:dyDescent="0.2">
      <c r="B32" t="s">
        <v>104</v>
      </c>
      <c r="C32" s="12">
        <v>10</v>
      </c>
      <c r="D32" s="8">
        <v>4.26</v>
      </c>
      <c r="E32" s="12">
        <v>9</v>
      </c>
      <c r="F32" s="8">
        <v>7.38</v>
      </c>
      <c r="G32" s="12">
        <v>1</v>
      </c>
      <c r="H32" s="8">
        <v>0.91</v>
      </c>
      <c r="I32" s="12">
        <v>0</v>
      </c>
    </row>
    <row r="33" spans="2:9" ht="15" customHeight="1" x14ac:dyDescent="0.2">
      <c r="B33" t="s">
        <v>100</v>
      </c>
      <c r="C33" s="12">
        <v>8</v>
      </c>
      <c r="D33" s="8">
        <v>3.4</v>
      </c>
      <c r="E33" s="12">
        <v>3</v>
      </c>
      <c r="F33" s="8">
        <v>2.46</v>
      </c>
      <c r="G33" s="12">
        <v>5</v>
      </c>
      <c r="H33" s="8">
        <v>4.55</v>
      </c>
      <c r="I33" s="12">
        <v>0</v>
      </c>
    </row>
    <row r="34" spans="2:9" ht="15" customHeight="1" x14ac:dyDescent="0.2">
      <c r="B34" t="s">
        <v>118</v>
      </c>
      <c r="C34" s="12">
        <v>7</v>
      </c>
      <c r="D34" s="8">
        <v>2.98</v>
      </c>
      <c r="E34" s="12">
        <v>0</v>
      </c>
      <c r="F34" s="8">
        <v>0</v>
      </c>
      <c r="G34" s="12">
        <v>6</v>
      </c>
      <c r="H34" s="8">
        <v>5.45</v>
      </c>
      <c r="I34" s="12">
        <v>0</v>
      </c>
    </row>
    <row r="35" spans="2:9" ht="15" customHeight="1" x14ac:dyDescent="0.2">
      <c r="B35" t="s">
        <v>101</v>
      </c>
      <c r="C35" s="12">
        <v>5</v>
      </c>
      <c r="D35" s="8">
        <v>2.13</v>
      </c>
      <c r="E35" s="12">
        <v>0</v>
      </c>
      <c r="F35" s="8">
        <v>0</v>
      </c>
      <c r="G35" s="12">
        <v>5</v>
      </c>
      <c r="H35" s="8">
        <v>4.55</v>
      </c>
      <c r="I35" s="12">
        <v>0</v>
      </c>
    </row>
    <row r="36" spans="2:9" ht="15" customHeight="1" x14ac:dyDescent="0.2">
      <c r="B36" t="s">
        <v>139</v>
      </c>
      <c r="C36" s="12">
        <v>4</v>
      </c>
      <c r="D36" s="8">
        <v>1.7</v>
      </c>
      <c r="E36" s="12">
        <v>1</v>
      </c>
      <c r="F36" s="8">
        <v>0.82</v>
      </c>
      <c r="G36" s="12">
        <v>3</v>
      </c>
      <c r="H36" s="8">
        <v>2.73</v>
      </c>
      <c r="I36" s="12">
        <v>0</v>
      </c>
    </row>
    <row r="37" spans="2:9" ht="15" customHeight="1" x14ac:dyDescent="0.2">
      <c r="B37" t="s">
        <v>128</v>
      </c>
      <c r="C37" s="12">
        <v>4</v>
      </c>
      <c r="D37" s="8">
        <v>1.7</v>
      </c>
      <c r="E37" s="12">
        <v>0</v>
      </c>
      <c r="F37" s="8">
        <v>0</v>
      </c>
      <c r="G37" s="12">
        <v>4</v>
      </c>
      <c r="H37" s="8">
        <v>3.64</v>
      </c>
      <c r="I37" s="12">
        <v>0</v>
      </c>
    </row>
    <row r="38" spans="2:9" ht="15" customHeight="1" x14ac:dyDescent="0.2">
      <c r="B38" t="s">
        <v>154</v>
      </c>
      <c r="C38" s="12">
        <v>4</v>
      </c>
      <c r="D38" s="8">
        <v>1.7</v>
      </c>
      <c r="E38" s="12">
        <v>2</v>
      </c>
      <c r="F38" s="8">
        <v>1.64</v>
      </c>
      <c r="G38" s="12">
        <v>2</v>
      </c>
      <c r="H38" s="8">
        <v>1.82</v>
      </c>
      <c r="I38" s="12">
        <v>0</v>
      </c>
    </row>
    <row r="39" spans="2:9" ht="15" customHeight="1" x14ac:dyDescent="0.2">
      <c r="B39" t="s">
        <v>105</v>
      </c>
      <c r="C39" s="12">
        <v>4</v>
      </c>
      <c r="D39" s="8">
        <v>1.7</v>
      </c>
      <c r="E39" s="12">
        <v>4</v>
      </c>
      <c r="F39" s="8">
        <v>3.28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110</v>
      </c>
      <c r="C40" s="12">
        <v>4</v>
      </c>
      <c r="D40" s="8">
        <v>1.7</v>
      </c>
      <c r="E40" s="12">
        <v>1</v>
      </c>
      <c r="F40" s="8">
        <v>0.82</v>
      </c>
      <c r="G40" s="12">
        <v>3</v>
      </c>
      <c r="H40" s="8">
        <v>2.73</v>
      </c>
      <c r="I40" s="12">
        <v>0</v>
      </c>
    </row>
    <row r="41" spans="2:9" ht="15" customHeight="1" x14ac:dyDescent="0.2">
      <c r="B41" t="s">
        <v>113</v>
      </c>
      <c r="C41" s="12">
        <v>4</v>
      </c>
      <c r="D41" s="8">
        <v>1.7</v>
      </c>
      <c r="E41" s="12">
        <v>2</v>
      </c>
      <c r="F41" s="8">
        <v>1.64</v>
      </c>
      <c r="G41" s="12">
        <v>2</v>
      </c>
      <c r="H41" s="8">
        <v>1.82</v>
      </c>
      <c r="I41" s="12">
        <v>0</v>
      </c>
    </row>
    <row r="42" spans="2:9" ht="15" customHeight="1" x14ac:dyDescent="0.2">
      <c r="B42" t="s">
        <v>125</v>
      </c>
      <c r="C42" s="12">
        <v>3</v>
      </c>
      <c r="D42" s="8">
        <v>1.28</v>
      </c>
      <c r="E42" s="12">
        <v>2</v>
      </c>
      <c r="F42" s="8">
        <v>1.64</v>
      </c>
      <c r="G42" s="12">
        <v>1</v>
      </c>
      <c r="H42" s="8">
        <v>0.91</v>
      </c>
      <c r="I42" s="12">
        <v>0</v>
      </c>
    </row>
    <row r="43" spans="2:9" ht="15" customHeight="1" x14ac:dyDescent="0.2">
      <c r="B43" t="s">
        <v>107</v>
      </c>
      <c r="C43" s="12">
        <v>3</v>
      </c>
      <c r="D43" s="8">
        <v>1.28</v>
      </c>
      <c r="E43" s="12">
        <v>1</v>
      </c>
      <c r="F43" s="8">
        <v>0.82</v>
      </c>
      <c r="G43" s="12">
        <v>2</v>
      </c>
      <c r="H43" s="8">
        <v>1.82</v>
      </c>
      <c r="I43" s="12">
        <v>0</v>
      </c>
    </row>
    <row r="44" spans="2:9" ht="15" customHeight="1" x14ac:dyDescent="0.2">
      <c r="B44" t="s">
        <v>114</v>
      </c>
      <c r="C44" s="12">
        <v>3</v>
      </c>
      <c r="D44" s="8">
        <v>1.28</v>
      </c>
      <c r="E44" s="12">
        <v>2</v>
      </c>
      <c r="F44" s="8">
        <v>1.64</v>
      </c>
      <c r="G44" s="12">
        <v>0</v>
      </c>
      <c r="H44" s="8">
        <v>0</v>
      </c>
      <c r="I44" s="12">
        <v>0</v>
      </c>
    </row>
    <row r="47" spans="2:9" ht="33" customHeight="1" x14ac:dyDescent="0.2">
      <c r="B47" t="s">
        <v>271</v>
      </c>
      <c r="C47" s="10" t="s">
        <v>90</v>
      </c>
      <c r="D47" s="10" t="s">
        <v>91</v>
      </c>
      <c r="E47" s="10" t="s">
        <v>92</v>
      </c>
      <c r="F47" s="10" t="s">
        <v>93</v>
      </c>
      <c r="G47" s="10" t="s">
        <v>94</v>
      </c>
      <c r="H47" s="10" t="s">
        <v>95</v>
      </c>
      <c r="I47" s="10" t="s">
        <v>96</v>
      </c>
    </row>
    <row r="48" spans="2:9" ht="15" customHeight="1" x14ac:dyDescent="0.2">
      <c r="B48" t="s">
        <v>176</v>
      </c>
      <c r="C48" s="12">
        <v>11</v>
      </c>
      <c r="D48" s="8">
        <v>4.68</v>
      </c>
      <c r="E48" s="12">
        <v>10</v>
      </c>
      <c r="F48" s="8">
        <v>8.1999999999999993</v>
      </c>
      <c r="G48" s="12">
        <v>1</v>
      </c>
      <c r="H48" s="8">
        <v>0.91</v>
      </c>
      <c r="I48" s="12">
        <v>0</v>
      </c>
    </row>
    <row r="49" spans="2:9" ht="15" customHeight="1" x14ac:dyDescent="0.2">
      <c r="B49" t="s">
        <v>157</v>
      </c>
      <c r="C49" s="12">
        <v>10</v>
      </c>
      <c r="D49" s="8">
        <v>4.26</v>
      </c>
      <c r="E49" s="12">
        <v>1</v>
      </c>
      <c r="F49" s="8">
        <v>0.82</v>
      </c>
      <c r="G49" s="12">
        <v>9</v>
      </c>
      <c r="H49" s="8">
        <v>8.18</v>
      </c>
      <c r="I49" s="12">
        <v>0</v>
      </c>
    </row>
    <row r="50" spans="2:9" ht="15" customHeight="1" x14ac:dyDescent="0.2">
      <c r="B50" t="s">
        <v>173</v>
      </c>
      <c r="C50" s="12">
        <v>10</v>
      </c>
      <c r="D50" s="8">
        <v>4.26</v>
      </c>
      <c r="E50" s="12">
        <v>9</v>
      </c>
      <c r="F50" s="8">
        <v>7.38</v>
      </c>
      <c r="G50" s="12">
        <v>1</v>
      </c>
      <c r="H50" s="8">
        <v>0.91</v>
      </c>
      <c r="I50" s="12">
        <v>0</v>
      </c>
    </row>
    <row r="51" spans="2:9" ht="15" customHeight="1" x14ac:dyDescent="0.2">
      <c r="B51" t="s">
        <v>169</v>
      </c>
      <c r="C51" s="12">
        <v>9</v>
      </c>
      <c r="D51" s="8">
        <v>3.83</v>
      </c>
      <c r="E51" s="12">
        <v>8</v>
      </c>
      <c r="F51" s="8">
        <v>6.56</v>
      </c>
      <c r="G51" s="12">
        <v>1</v>
      </c>
      <c r="H51" s="8">
        <v>0.91</v>
      </c>
      <c r="I51" s="12">
        <v>0</v>
      </c>
    </row>
    <row r="52" spans="2:9" ht="15" customHeight="1" x14ac:dyDescent="0.2">
      <c r="B52" t="s">
        <v>172</v>
      </c>
      <c r="C52" s="12">
        <v>9</v>
      </c>
      <c r="D52" s="8">
        <v>3.83</v>
      </c>
      <c r="E52" s="12">
        <v>9</v>
      </c>
      <c r="F52" s="8">
        <v>7.38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160</v>
      </c>
      <c r="C53" s="12">
        <v>7</v>
      </c>
      <c r="D53" s="8">
        <v>2.98</v>
      </c>
      <c r="E53" s="12">
        <v>3</v>
      </c>
      <c r="F53" s="8">
        <v>2.46</v>
      </c>
      <c r="G53" s="12">
        <v>4</v>
      </c>
      <c r="H53" s="8">
        <v>3.64</v>
      </c>
      <c r="I53" s="12">
        <v>0</v>
      </c>
    </row>
    <row r="54" spans="2:9" ht="15" customHeight="1" x14ac:dyDescent="0.2">
      <c r="B54" t="s">
        <v>175</v>
      </c>
      <c r="C54" s="12">
        <v>7</v>
      </c>
      <c r="D54" s="8">
        <v>2.98</v>
      </c>
      <c r="E54" s="12">
        <v>6</v>
      </c>
      <c r="F54" s="8">
        <v>4.92</v>
      </c>
      <c r="G54" s="12">
        <v>1</v>
      </c>
      <c r="H54" s="8">
        <v>0.91</v>
      </c>
      <c r="I54" s="12">
        <v>0</v>
      </c>
    </row>
    <row r="55" spans="2:9" ht="15" customHeight="1" x14ac:dyDescent="0.2">
      <c r="B55" t="s">
        <v>159</v>
      </c>
      <c r="C55" s="12">
        <v>6</v>
      </c>
      <c r="D55" s="8">
        <v>2.5499999999999998</v>
      </c>
      <c r="E55" s="12">
        <v>6</v>
      </c>
      <c r="F55" s="8">
        <v>4.92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161</v>
      </c>
      <c r="C56" s="12">
        <v>6</v>
      </c>
      <c r="D56" s="8">
        <v>2.5499999999999998</v>
      </c>
      <c r="E56" s="12">
        <v>2</v>
      </c>
      <c r="F56" s="8">
        <v>1.64</v>
      </c>
      <c r="G56" s="12">
        <v>4</v>
      </c>
      <c r="H56" s="8">
        <v>3.64</v>
      </c>
      <c r="I56" s="12">
        <v>0</v>
      </c>
    </row>
    <row r="57" spans="2:9" ht="15" customHeight="1" x14ac:dyDescent="0.2">
      <c r="B57" t="s">
        <v>200</v>
      </c>
      <c r="C57" s="12">
        <v>6</v>
      </c>
      <c r="D57" s="8">
        <v>2.5499999999999998</v>
      </c>
      <c r="E57" s="12">
        <v>2</v>
      </c>
      <c r="F57" s="8">
        <v>1.64</v>
      </c>
      <c r="G57" s="12">
        <v>4</v>
      </c>
      <c r="H57" s="8">
        <v>3.64</v>
      </c>
      <c r="I57" s="12">
        <v>0</v>
      </c>
    </row>
    <row r="58" spans="2:9" ht="15" customHeight="1" x14ac:dyDescent="0.2">
      <c r="B58" t="s">
        <v>231</v>
      </c>
      <c r="C58" s="12">
        <v>5</v>
      </c>
      <c r="D58" s="8">
        <v>2.13</v>
      </c>
      <c r="E58" s="12">
        <v>2</v>
      </c>
      <c r="F58" s="8">
        <v>1.64</v>
      </c>
      <c r="G58" s="12">
        <v>3</v>
      </c>
      <c r="H58" s="8">
        <v>2.73</v>
      </c>
      <c r="I58" s="12">
        <v>0</v>
      </c>
    </row>
    <row r="59" spans="2:9" ht="15" customHeight="1" x14ac:dyDescent="0.2">
      <c r="B59" t="s">
        <v>177</v>
      </c>
      <c r="C59" s="12">
        <v>4</v>
      </c>
      <c r="D59" s="8">
        <v>1.7</v>
      </c>
      <c r="E59" s="12">
        <v>2</v>
      </c>
      <c r="F59" s="8">
        <v>1.64</v>
      </c>
      <c r="G59" s="12">
        <v>2</v>
      </c>
      <c r="H59" s="8">
        <v>1.82</v>
      </c>
      <c r="I59" s="12">
        <v>0</v>
      </c>
    </row>
    <row r="60" spans="2:9" ht="15" customHeight="1" x14ac:dyDescent="0.2">
      <c r="B60" t="s">
        <v>180</v>
      </c>
      <c r="C60" s="12">
        <v>4</v>
      </c>
      <c r="D60" s="8">
        <v>1.7</v>
      </c>
      <c r="E60" s="12">
        <v>3</v>
      </c>
      <c r="F60" s="8">
        <v>2.46</v>
      </c>
      <c r="G60" s="12">
        <v>1</v>
      </c>
      <c r="H60" s="8">
        <v>0.91</v>
      </c>
      <c r="I60" s="12">
        <v>0</v>
      </c>
    </row>
    <row r="61" spans="2:9" ht="15" customHeight="1" x14ac:dyDescent="0.2">
      <c r="B61" t="s">
        <v>262</v>
      </c>
      <c r="C61" s="12">
        <v>4</v>
      </c>
      <c r="D61" s="8">
        <v>1.7</v>
      </c>
      <c r="E61" s="12">
        <v>2</v>
      </c>
      <c r="F61" s="8">
        <v>1.64</v>
      </c>
      <c r="G61" s="12">
        <v>2</v>
      </c>
      <c r="H61" s="8">
        <v>1.82</v>
      </c>
      <c r="I61" s="12">
        <v>0</v>
      </c>
    </row>
    <row r="62" spans="2:9" ht="15" customHeight="1" x14ac:dyDescent="0.2">
      <c r="B62" t="s">
        <v>178</v>
      </c>
      <c r="C62" s="12">
        <v>4</v>
      </c>
      <c r="D62" s="8">
        <v>1.7</v>
      </c>
      <c r="E62" s="12">
        <v>1</v>
      </c>
      <c r="F62" s="8">
        <v>0.82</v>
      </c>
      <c r="G62" s="12">
        <v>3</v>
      </c>
      <c r="H62" s="8">
        <v>2.73</v>
      </c>
      <c r="I62" s="12">
        <v>0</v>
      </c>
    </row>
    <row r="63" spans="2:9" ht="15" customHeight="1" x14ac:dyDescent="0.2">
      <c r="B63" t="s">
        <v>170</v>
      </c>
      <c r="C63" s="12">
        <v>4</v>
      </c>
      <c r="D63" s="8">
        <v>1.7</v>
      </c>
      <c r="E63" s="12">
        <v>4</v>
      </c>
      <c r="F63" s="8">
        <v>3.28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192</v>
      </c>
      <c r="C64" s="12">
        <v>4</v>
      </c>
      <c r="D64" s="8">
        <v>1.7</v>
      </c>
      <c r="E64" s="12">
        <v>4</v>
      </c>
      <c r="F64" s="8">
        <v>3.28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158</v>
      </c>
      <c r="C65" s="12">
        <v>3</v>
      </c>
      <c r="D65" s="8">
        <v>1.28</v>
      </c>
      <c r="E65" s="12">
        <v>1</v>
      </c>
      <c r="F65" s="8">
        <v>0.82</v>
      </c>
      <c r="G65" s="12">
        <v>2</v>
      </c>
      <c r="H65" s="8">
        <v>1.82</v>
      </c>
      <c r="I65" s="12">
        <v>0</v>
      </c>
    </row>
    <row r="66" spans="2:9" ht="15" customHeight="1" x14ac:dyDescent="0.2">
      <c r="B66" t="s">
        <v>238</v>
      </c>
      <c r="C66" s="12">
        <v>3</v>
      </c>
      <c r="D66" s="8">
        <v>1.28</v>
      </c>
      <c r="E66" s="12">
        <v>1</v>
      </c>
      <c r="F66" s="8">
        <v>0.82</v>
      </c>
      <c r="G66" s="12">
        <v>2</v>
      </c>
      <c r="H66" s="8">
        <v>1.82</v>
      </c>
      <c r="I66" s="12">
        <v>0</v>
      </c>
    </row>
    <row r="67" spans="2:9" ht="15" customHeight="1" x14ac:dyDescent="0.2">
      <c r="B67" t="s">
        <v>263</v>
      </c>
      <c r="C67" s="12">
        <v>3</v>
      </c>
      <c r="D67" s="8">
        <v>1.28</v>
      </c>
      <c r="E67" s="12">
        <v>3</v>
      </c>
      <c r="F67" s="8">
        <v>2.46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163</v>
      </c>
      <c r="C68" s="12">
        <v>3</v>
      </c>
      <c r="D68" s="8">
        <v>1.28</v>
      </c>
      <c r="E68" s="12">
        <v>3</v>
      </c>
      <c r="F68" s="8">
        <v>2.46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207</v>
      </c>
      <c r="C69" s="12">
        <v>3</v>
      </c>
      <c r="D69" s="8">
        <v>1.28</v>
      </c>
      <c r="E69" s="12">
        <v>1</v>
      </c>
      <c r="F69" s="8">
        <v>0.82</v>
      </c>
      <c r="G69" s="12">
        <v>2</v>
      </c>
      <c r="H69" s="8">
        <v>1.82</v>
      </c>
      <c r="I69" s="12">
        <v>0</v>
      </c>
    </row>
    <row r="70" spans="2:9" ht="15" customHeight="1" x14ac:dyDescent="0.2">
      <c r="B70" t="s">
        <v>164</v>
      </c>
      <c r="C70" s="12">
        <v>3</v>
      </c>
      <c r="D70" s="8">
        <v>1.28</v>
      </c>
      <c r="E70" s="12">
        <v>2</v>
      </c>
      <c r="F70" s="8">
        <v>1.64</v>
      </c>
      <c r="G70" s="12">
        <v>1</v>
      </c>
      <c r="H70" s="8">
        <v>0.91</v>
      </c>
      <c r="I70" s="12">
        <v>0</v>
      </c>
    </row>
    <row r="71" spans="2:9" ht="15" customHeight="1" x14ac:dyDescent="0.2">
      <c r="B71" t="s">
        <v>218</v>
      </c>
      <c r="C71" s="12">
        <v>3</v>
      </c>
      <c r="D71" s="8">
        <v>1.28</v>
      </c>
      <c r="E71" s="12">
        <v>1</v>
      </c>
      <c r="F71" s="8">
        <v>0.82</v>
      </c>
      <c r="G71" s="12">
        <v>2</v>
      </c>
      <c r="H71" s="8">
        <v>1.82</v>
      </c>
      <c r="I71" s="12">
        <v>0</v>
      </c>
    </row>
    <row r="72" spans="2:9" ht="15" customHeight="1" x14ac:dyDescent="0.2">
      <c r="B72" t="s">
        <v>195</v>
      </c>
      <c r="C72" s="12">
        <v>3</v>
      </c>
      <c r="D72" s="8">
        <v>1.28</v>
      </c>
      <c r="E72" s="12">
        <v>3</v>
      </c>
      <c r="F72" s="8">
        <v>2.46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264</v>
      </c>
      <c r="C73" s="12">
        <v>3</v>
      </c>
      <c r="D73" s="8">
        <v>1.28</v>
      </c>
      <c r="E73" s="12">
        <v>0</v>
      </c>
      <c r="F73" s="8">
        <v>0</v>
      </c>
      <c r="G73" s="12">
        <v>3</v>
      </c>
      <c r="H73" s="8">
        <v>2.73</v>
      </c>
      <c r="I73" s="12">
        <v>0</v>
      </c>
    </row>
    <row r="75" spans="2:9" ht="15" customHeight="1" x14ac:dyDescent="0.2">
      <c r="B75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B692-DF2B-4E1E-84AB-C8C2FA74DE23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340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59</v>
      </c>
      <c r="D6" s="8">
        <v>23.6</v>
      </c>
      <c r="E6" s="12">
        <v>27</v>
      </c>
      <c r="F6" s="8">
        <v>19.71</v>
      </c>
      <c r="G6" s="12">
        <v>32</v>
      </c>
      <c r="H6" s="8">
        <v>29.09</v>
      </c>
      <c r="I6" s="12">
        <v>0</v>
      </c>
    </row>
    <row r="7" spans="2:9" ht="15" customHeight="1" x14ac:dyDescent="0.2">
      <c r="B7" t="s">
        <v>76</v>
      </c>
      <c r="C7" s="12">
        <v>29</v>
      </c>
      <c r="D7" s="8">
        <v>11.6</v>
      </c>
      <c r="E7" s="12">
        <v>11</v>
      </c>
      <c r="F7" s="8">
        <v>8.0299999999999994</v>
      </c>
      <c r="G7" s="12">
        <v>18</v>
      </c>
      <c r="H7" s="8">
        <v>16.36</v>
      </c>
      <c r="I7" s="12">
        <v>0</v>
      </c>
    </row>
    <row r="8" spans="2:9" ht="15" customHeight="1" x14ac:dyDescent="0.2">
      <c r="B8" t="s">
        <v>77</v>
      </c>
      <c r="C8" s="12">
        <v>6</v>
      </c>
      <c r="D8" s="8">
        <v>2.4</v>
      </c>
      <c r="E8" s="12">
        <v>0</v>
      </c>
      <c r="F8" s="8">
        <v>0</v>
      </c>
      <c r="G8" s="12">
        <v>6</v>
      </c>
      <c r="H8" s="8">
        <v>5.45</v>
      </c>
      <c r="I8" s="12">
        <v>0</v>
      </c>
    </row>
    <row r="9" spans="2:9" ht="15" customHeight="1" x14ac:dyDescent="0.2">
      <c r="B9" t="s">
        <v>78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79</v>
      </c>
      <c r="C10" s="12">
        <v>5</v>
      </c>
      <c r="D10" s="8">
        <v>2</v>
      </c>
      <c r="E10" s="12">
        <v>2</v>
      </c>
      <c r="F10" s="8">
        <v>1.46</v>
      </c>
      <c r="G10" s="12">
        <v>3</v>
      </c>
      <c r="H10" s="8">
        <v>2.73</v>
      </c>
      <c r="I10" s="12">
        <v>0</v>
      </c>
    </row>
    <row r="11" spans="2:9" ht="15" customHeight="1" x14ac:dyDescent="0.2">
      <c r="B11" t="s">
        <v>80</v>
      </c>
      <c r="C11" s="12">
        <v>46</v>
      </c>
      <c r="D11" s="8">
        <v>18.399999999999999</v>
      </c>
      <c r="E11" s="12">
        <v>20</v>
      </c>
      <c r="F11" s="8">
        <v>14.6</v>
      </c>
      <c r="G11" s="12">
        <v>26</v>
      </c>
      <c r="H11" s="8">
        <v>23.64</v>
      </c>
      <c r="I11" s="12">
        <v>0</v>
      </c>
    </row>
    <row r="12" spans="2:9" ht="15" customHeight="1" x14ac:dyDescent="0.2">
      <c r="B12" t="s">
        <v>81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82</v>
      </c>
      <c r="C13" s="12">
        <v>17</v>
      </c>
      <c r="D13" s="8">
        <v>6.8</v>
      </c>
      <c r="E13" s="12">
        <v>8</v>
      </c>
      <c r="F13" s="8">
        <v>5.84</v>
      </c>
      <c r="G13" s="12">
        <v>9</v>
      </c>
      <c r="H13" s="8">
        <v>8.18</v>
      </c>
      <c r="I13" s="12">
        <v>0</v>
      </c>
    </row>
    <row r="14" spans="2:9" ht="15" customHeight="1" x14ac:dyDescent="0.2">
      <c r="B14" t="s">
        <v>83</v>
      </c>
      <c r="C14" s="12">
        <v>3</v>
      </c>
      <c r="D14" s="8">
        <v>1.2</v>
      </c>
      <c r="E14" s="12">
        <v>3</v>
      </c>
      <c r="F14" s="8">
        <v>2.19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84</v>
      </c>
      <c r="C15" s="12">
        <v>26</v>
      </c>
      <c r="D15" s="8">
        <v>10.4</v>
      </c>
      <c r="E15" s="12">
        <v>23</v>
      </c>
      <c r="F15" s="8">
        <v>16.79</v>
      </c>
      <c r="G15" s="12">
        <v>2</v>
      </c>
      <c r="H15" s="8">
        <v>1.82</v>
      </c>
      <c r="I15" s="12">
        <v>0</v>
      </c>
    </row>
    <row r="16" spans="2:9" ht="15" customHeight="1" x14ac:dyDescent="0.2">
      <c r="B16" t="s">
        <v>85</v>
      </c>
      <c r="C16" s="12">
        <v>29</v>
      </c>
      <c r="D16" s="8">
        <v>11.6</v>
      </c>
      <c r="E16" s="12">
        <v>23</v>
      </c>
      <c r="F16" s="8">
        <v>16.79</v>
      </c>
      <c r="G16" s="12">
        <v>5</v>
      </c>
      <c r="H16" s="8">
        <v>4.55</v>
      </c>
      <c r="I16" s="12">
        <v>0</v>
      </c>
    </row>
    <row r="17" spans="2:9" ht="15" customHeight="1" x14ac:dyDescent="0.2">
      <c r="B17" t="s">
        <v>86</v>
      </c>
      <c r="C17" s="12">
        <v>6</v>
      </c>
      <c r="D17" s="8">
        <v>2.4</v>
      </c>
      <c r="E17" s="12">
        <v>5</v>
      </c>
      <c r="F17" s="8">
        <v>3.65</v>
      </c>
      <c r="G17" s="12">
        <v>1</v>
      </c>
      <c r="H17" s="8">
        <v>0.91</v>
      </c>
      <c r="I17" s="12">
        <v>0</v>
      </c>
    </row>
    <row r="18" spans="2:9" ht="15" customHeight="1" x14ac:dyDescent="0.2">
      <c r="B18" t="s">
        <v>87</v>
      </c>
      <c r="C18" s="12">
        <v>10</v>
      </c>
      <c r="D18" s="8">
        <v>4</v>
      </c>
      <c r="E18" s="12">
        <v>6</v>
      </c>
      <c r="F18" s="8">
        <v>4.38</v>
      </c>
      <c r="G18" s="12">
        <v>4</v>
      </c>
      <c r="H18" s="8">
        <v>3.64</v>
      </c>
      <c r="I18" s="12">
        <v>0</v>
      </c>
    </row>
    <row r="19" spans="2:9" ht="15" customHeight="1" x14ac:dyDescent="0.2">
      <c r="B19" t="s">
        <v>88</v>
      </c>
      <c r="C19" s="12">
        <v>14</v>
      </c>
      <c r="D19" s="8">
        <v>5.6</v>
      </c>
      <c r="E19" s="12">
        <v>9</v>
      </c>
      <c r="F19" s="8">
        <v>6.57</v>
      </c>
      <c r="G19" s="12">
        <v>4</v>
      </c>
      <c r="H19" s="8">
        <v>3.64</v>
      </c>
      <c r="I19" s="12">
        <v>0</v>
      </c>
    </row>
    <row r="20" spans="2:9" ht="15" customHeight="1" x14ac:dyDescent="0.2">
      <c r="B20" s="9" t="s">
        <v>269</v>
      </c>
      <c r="C20" s="12">
        <f>SUM(LTBL_11383[総数／事業所数])</f>
        <v>250</v>
      </c>
      <c r="E20" s="12">
        <f>SUBTOTAL(109,LTBL_11383[個人／事業所数])</f>
        <v>137</v>
      </c>
      <c r="G20" s="12">
        <f>SUBTOTAL(109,LTBL_11383[法人／事業所数])</f>
        <v>110</v>
      </c>
      <c r="I20" s="12">
        <f>SUBTOTAL(109,LTBL_11383[法人以外の団体／事業所数])</f>
        <v>0</v>
      </c>
    </row>
    <row r="21" spans="2:9" ht="15" customHeight="1" x14ac:dyDescent="0.2">
      <c r="E21" s="11">
        <f>LTBL_11383[[#Totals],[個人／事業所数]]/LTBL_11383[[#Totals],[総数／事業所数]]</f>
        <v>0.54800000000000004</v>
      </c>
      <c r="G21" s="11">
        <f>LTBL_11383[[#Totals],[法人／事業所数]]/LTBL_11383[[#Totals],[総数／事業所数]]</f>
        <v>0.44</v>
      </c>
      <c r="I21" s="11">
        <f>LTBL_11383[[#Totals],[法人以外の団体／事業所数]]/LTBL_11383[[#Totals],[総数／事業所数]]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97</v>
      </c>
      <c r="C24" s="12">
        <v>33</v>
      </c>
      <c r="D24" s="8">
        <v>13.2</v>
      </c>
      <c r="E24" s="12">
        <v>16</v>
      </c>
      <c r="F24" s="8">
        <v>11.68</v>
      </c>
      <c r="G24" s="12">
        <v>17</v>
      </c>
      <c r="H24" s="8">
        <v>15.45</v>
      </c>
      <c r="I24" s="12">
        <v>0</v>
      </c>
    </row>
    <row r="25" spans="2:9" ht="15" customHeight="1" x14ac:dyDescent="0.2">
      <c r="B25" t="s">
        <v>112</v>
      </c>
      <c r="C25" s="12">
        <v>24</v>
      </c>
      <c r="D25" s="8">
        <v>9.6</v>
      </c>
      <c r="E25" s="12">
        <v>21</v>
      </c>
      <c r="F25" s="8">
        <v>15.33</v>
      </c>
      <c r="G25" s="12">
        <v>3</v>
      </c>
      <c r="H25" s="8">
        <v>2.73</v>
      </c>
      <c r="I25" s="12">
        <v>0</v>
      </c>
    </row>
    <row r="26" spans="2:9" ht="15" customHeight="1" x14ac:dyDescent="0.2">
      <c r="B26" t="s">
        <v>111</v>
      </c>
      <c r="C26" s="12">
        <v>23</v>
      </c>
      <c r="D26" s="8">
        <v>9.1999999999999993</v>
      </c>
      <c r="E26" s="12">
        <v>21</v>
      </c>
      <c r="F26" s="8">
        <v>15.33</v>
      </c>
      <c r="G26" s="12">
        <v>2</v>
      </c>
      <c r="H26" s="8">
        <v>1.82</v>
      </c>
      <c r="I26" s="12">
        <v>0</v>
      </c>
    </row>
    <row r="27" spans="2:9" ht="15" customHeight="1" x14ac:dyDescent="0.2">
      <c r="B27" t="s">
        <v>106</v>
      </c>
      <c r="C27" s="12">
        <v>17</v>
      </c>
      <c r="D27" s="8">
        <v>6.8</v>
      </c>
      <c r="E27" s="12">
        <v>7</v>
      </c>
      <c r="F27" s="8">
        <v>5.1100000000000003</v>
      </c>
      <c r="G27" s="12">
        <v>10</v>
      </c>
      <c r="H27" s="8">
        <v>9.09</v>
      </c>
      <c r="I27" s="12">
        <v>0</v>
      </c>
    </row>
    <row r="28" spans="2:9" ht="15" customHeight="1" x14ac:dyDescent="0.2">
      <c r="B28" t="s">
        <v>98</v>
      </c>
      <c r="C28" s="12">
        <v>16</v>
      </c>
      <c r="D28" s="8">
        <v>6.4</v>
      </c>
      <c r="E28" s="12">
        <v>9</v>
      </c>
      <c r="F28" s="8">
        <v>6.57</v>
      </c>
      <c r="G28" s="12">
        <v>7</v>
      </c>
      <c r="H28" s="8">
        <v>6.36</v>
      </c>
      <c r="I28" s="12">
        <v>0</v>
      </c>
    </row>
    <row r="29" spans="2:9" ht="15" customHeight="1" x14ac:dyDescent="0.2">
      <c r="B29" t="s">
        <v>108</v>
      </c>
      <c r="C29" s="12">
        <v>14</v>
      </c>
      <c r="D29" s="8">
        <v>5.6</v>
      </c>
      <c r="E29" s="12">
        <v>8</v>
      </c>
      <c r="F29" s="8">
        <v>5.84</v>
      </c>
      <c r="G29" s="12">
        <v>6</v>
      </c>
      <c r="H29" s="8">
        <v>5.45</v>
      </c>
      <c r="I29" s="12">
        <v>0</v>
      </c>
    </row>
    <row r="30" spans="2:9" ht="15" customHeight="1" x14ac:dyDescent="0.2">
      <c r="B30" t="s">
        <v>99</v>
      </c>
      <c r="C30" s="12">
        <v>10</v>
      </c>
      <c r="D30" s="8">
        <v>4</v>
      </c>
      <c r="E30" s="12">
        <v>2</v>
      </c>
      <c r="F30" s="8">
        <v>1.46</v>
      </c>
      <c r="G30" s="12">
        <v>8</v>
      </c>
      <c r="H30" s="8">
        <v>7.27</v>
      </c>
      <c r="I30" s="12">
        <v>0</v>
      </c>
    </row>
    <row r="31" spans="2:9" ht="15" customHeight="1" x14ac:dyDescent="0.2">
      <c r="B31" t="s">
        <v>116</v>
      </c>
      <c r="C31" s="12">
        <v>10</v>
      </c>
      <c r="D31" s="8">
        <v>4</v>
      </c>
      <c r="E31" s="12">
        <v>8</v>
      </c>
      <c r="F31" s="8">
        <v>5.84</v>
      </c>
      <c r="G31" s="12">
        <v>2</v>
      </c>
      <c r="H31" s="8">
        <v>1.82</v>
      </c>
      <c r="I31" s="12">
        <v>0</v>
      </c>
    </row>
    <row r="32" spans="2:9" ht="15" customHeight="1" x14ac:dyDescent="0.2">
      <c r="B32" t="s">
        <v>105</v>
      </c>
      <c r="C32" s="12">
        <v>7</v>
      </c>
      <c r="D32" s="8">
        <v>2.8</v>
      </c>
      <c r="E32" s="12">
        <v>6</v>
      </c>
      <c r="F32" s="8">
        <v>4.38</v>
      </c>
      <c r="G32" s="12">
        <v>1</v>
      </c>
      <c r="H32" s="8">
        <v>0.91</v>
      </c>
      <c r="I32" s="12">
        <v>0</v>
      </c>
    </row>
    <row r="33" spans="2:9" ht="15" customHeight="1" x14ac:dyDescent="0.2">
      <c r="B33" t="s">
        <v>144</v>
      </c>
      <c r="C33" s="12">
        <v>6</v>
      </c>
      <c r="D33" s="8">
        <v>2.4</v>
      </c>
      <c r="E33" s="12">
        <v>0</v>
      </c>
      <c r="F33" s="8">
        <v>0</v>
      </c>
      <c r="G33" s="12">
        <v>6</v>
      </c>
      <c r="H33" s="8">
        <v>5.45</v>
      </c>
      <c r="I33" s="12">
        <v>0</v>
      </c>
    </row>
    <row r="34" spans="2:9" ht="15" customHeight="1" x14ac:dyDescent="0.2">
      <c r="B34" t="s">
        <v>114</v>
      </c>
      <c r="C34" s="12">
        <v>6</v>
      </c>
      <c r="D34" s="8">
        <v>2.4</v>
      </c>
      <c r="E34" s="12">
        <v>5</v>
      </c>
      <c r="F34" s="8">
        <v>3.65</v>
      </c>
      <c r="G34" s="12">
        <v>1</v>
      </c>
      <c r="H34" s="8">
        <v>0.91</v>
      </c>
      <c r="I34" s="12">
        <v>0</v>
      </c>
    </row>
    <row r="35" spans="2:9" ht="15" customHeight="1" x14ac:dyDescent="0.2">
      <c r="B35" t="s">
        <v>115</v>
      </c>
      <c r="C35" s="12">
        <v>6</v>
      </c>
      <c r="D35" s="8">
        <v>2.4</v>
      </c>
      <c r="E35" s="12">
        <v>5</v>
      </c>
      <c r="F35" s="8">
        <v>3.65</v>
      </c>
      <c r="G35" s="12">
        <v>1</v>
      </c>
      <c r="H35" s="8">
        <v>0.91</v>
      </c>
      <c r="I35" s="12">
        <v>0</v>
      </c>
    </row>
    <row r="36" spans="2:9" ht="15" customHeight="1" x14ac:dyDescent="0.2">
      <c r="B36" t="s">
        <v>125</v>
      </c>
      <c r="C36" s="12">
        <v>4</v>
      </c>
      <c r="D36" s="8">
        <v>1.6</v>
      </c>
      <c r="E36" s="12">
        <v>2</v>
      </c>
      <c r="F36" s="8">
        <v>1.46</v>
      </c>
      <c r="G36" s="12">
        <v>2</v>
      </c>
      <c r="H36" s="8">
        <v>1.82</v>
      </c>
      <c r="I36" s="12">
        <v>0</v>
      </c>
    </row>
    <row r="37" spans="2:9" ht="15" customHeight="1" x14ac:dyDescent="0.2">
      <c r="B37" t="s">
        <v>121</v>
      </c>
      <c r="C37" s="12">
        <v>4</v>
      </c>
      <c r="D37" s="8">
        <v>1.6</v>
      </c>
      <c r="E37" s="12">
        <v>1</v>
      </c>
      <c r="F37" s="8">
        <v>0.73</v>
      </c>
      <c r="G37" s="12">
        <v>3</v>
      </c>
      <c r="H37" s="8">
        <v>2.73</v>
      </c>
      <c r="I37" s="12">
        <v>0</v>
      </c>
    </row>
    <row r="38" spans="2:9" ht="15" customHeight="1" x14ac:dyDescent="0.2">
      <c r="B38" t="s">
        <v>101</v>
      </c>
      <c r="C38" s="12">
        <v>4</v>
      </c>
      <c r="D38" s="8">
        <v>1.6</v>
      </c>
      <c r="E38" s="12">
        <v>2</v>
      </c>
      <c r="F38" s="8">
        <v>1.46</v>
      </c>
      <c r="G38" s="12">
        <v>2</v>
      </c>
      <c r="H38" s="8">
        <v>1.82</v>
      </c>
      <c r="I38" s="12">
        <v>0</v>
      </c>
    </row>
    <row r="39" spans="2:9" ht="15" customHeight="1" x14ac:dyDescent="0.2">
      <c r="B39" t="s">
        <v>117</v>
      </c>
      <c r="C39" s="12">
        <v>4</v>
      </c>
      <c r="D39" s="8">
        <v>1.6</v>
      </c>
      <c r="E39" s="12">
        <v>0</v>
      </c>
      <c r="F39" s="8">
        <v>0</v>
      </c>
      <c r="G39" s="12">
        <v>4</v>
      </c>
      <c r="H39" s="8">
        <v>3.64</v>
      </c>
      <c r="I39" s="12">
        <v>0</v>
      </c>
    </row>
    <row r="40" spans="2:9" ht="15" customHeight="1" x14ac:dyDescent="0.2">
      <c r="B40" t="s">
        <v>104</v>
      </c>
      <c r="C40" s="12">
        <v>4</v>
      </c>
      <c r="D40" s="8">
        <v>1.6</v>
      </c>
      <c r="E40" s="12">
        <v>3</v>
      </c>
      <c r="F40" s="8">
        <v>2.19</v>
      </c>
      <c r="G40" s="12">
        <v>1</v>
      </c>
      <c r="H40" s="8">
        <v>0.91</v>
      </c>
      <c r="I40" s="12">
        <v>0</v>
      </c>
    </row>
    <row r="41" spans="2:9" ht="15" customHeight="1" x14ac:dyDescent="0.2">
      <c r="B41" t="s">
        <v>118</v>
      </c>
      <c r="C41" s="12">
        <v>4</v>
      </c>
      <c r="D41" s="8">
        <v>1.6</v>
      </c>
      <c r="E41" s="12">
        <v>1</v>
      </c>
      <c r="F41" s="8">
        <v>0.73</v>
      </c>
      <c r="G41" s="12">
        <v>3</v>
      </c>
      <c r="H41" s="8">
        <v>2.73</v>
      </c>
      <c r="I41" s="12">
        <v>0</v>
      </c>
    </row>
    <row r="42" spans="2:9" ht="15" customHeight="1" x14ac:dyDescent="0.2">
      <c r="B42" t="s">
        <v>143</v>
      </c>
      <c r="C42" s="12">
        <v>3</v>
      </c>
      <c r="D42" s="8">
        <v>1.2</v>
      </c>
      <c r="E42" s="12">
        <v>1</v>
      </c>
      <c r="F42" s="8">
        <v>0.73</v>
      </c>
      <c r="G42" s="12">
        <v>2</v>
      </c>
      <c r="H42" s="8">
        <v>1.82</v>
      </c>
      <c r="I42" s="12">
        <v>0</v>
      </c>
    </row>
    <row r="43" spans="2:9" ht="15" customHeight="1" x14ac:dyDescent="0.2">
      <c r="B43" t="s">
        <v>102</v>
      </c>
      <c r="C43" s="12">
        <v>3</v>
      </c>
      <c r="D43" s="8">
        <v>1.2</v>
      </c>
      <c r="E43" s="12">
        <v>1</v>
      </c>
      <c r="F43" s="8">
        <v>0.73</v>
      </c>
      <c r="G43" s="12">
        <v>2</v>
      </c>
      <c r="H43" s="8">
        <v>1.82</v>
      </c>
      <c r="I43" s="12">
        <v>0</v>
      </c>
    </row>
    <row r="44" spans="2:9" ht="15" customHeight="1" x14ac:dyDescent="0.2">
      <c r="B44" t="s">
        <v>122</v>
      </c>
      <c r="C44" s="12">
        <v>3</v>
      </c>
      <c r="D44" s="8">
        <v>1.2</v>
      </c>
      <c r="E44" s="12">
        <v>0</v>
      </c>
      <c r="F44" s="8">
        <v>0</v>
      </c>
      <c r="G44" s="12">
        <v>3</v>
      </c>
      <c r="H44" s="8">
        <v>2.73</v>
      </c>
      <c r="I44" s="12">
        <v>0</v>
      </c>
    </row>
    <row r="45" spans="2:9" ht="15" customHeight="1" x14ac:dyDescent="0.2">
      <c r="B45" t="s">
        <v>113</v>
      </c>
      <c r="C45" s="12">
        <v>3</v>
      </c>
      <c r="D45" s="8">
        <v>1.2</v>
      </c>
      <c r="E45" s="12">
        <v>1</v>
      </c>
      <c r="F45" s="8">
        <v>0.73</v>
      </c>
      <c r="G45" s="12">
        <v>2</v>
      </c>
      <c r="H45" s="8">
        <v>1.82</v>
      </c>
      <c r="I45" s="12">
        <v>0</v>
      </c>
    </row>
    <row r="48" spans="2:9" ht="33" customHeight="1" x14ac:dyDescent="0.2">
      <c r="B48" t="s">
        <v>271</v>
      </c>
      <c r="C48" s="10" t="s">
        <v>90</v>
      </c>
      <c r="D48" s="10" t="s">
        <v>91</v>
      </c>
      <c r="E48" s="10" t="s">
        <v>92</v>
      </c>
      <c r="F48" s="10" t="s">
        <v>93</v>
      </c>
      <c r="G48" s="10" t="s">
        <v>94</v>
      </c>
      <c r="H48" s="10" t="s">
        <v>95</v>
      </c>
      <c r="I48" s="10" t="s">
        <v>96</v>
      </c>
    </row>
    <row r="49" spans="2:9" ht="15" customHeight="1" x14ac:dyDescent="0.2">
      <c r="B49" t="s">
        <v>157</v>
      </c>
      <c r="C49" s="12">
        <v>14</v>
      </c>
      <c r="D49" s="8">
        <v>5.6</v>
      </c>
      <c r="E49" s="12">
        <v>3</v>
      </c>
      <c r="F49" s="8">
        <v>2.19</v>
      </c>
      <c r="G49" s="12">
        <v>11</v>
      </c>
      <c r="H49" s="8">
        <v>10</v>
      </c>
      <c r="I49" s="12">
        <v>0</v>
      </c>
    </row>
    <row r="50" spans="2:9" ht="15" customHeight="1" x14ac:dyDescent="0.2">
      <c r="B50" t="s">
        <v>159</v>
      </c>
      <c r="C50" s="12">
        <v>12</v>
      </c>
      <c r="D50" s="8">
        <v>4.8</v>
      </c>
      <c r="E50" s="12">
        <v>11</v>
      </c>
      <c r="F50" s="8">
        <v>8.0299999999999994</v>
      </c>
      <c r="G50" s="12">
        <v>1</v>
      </c>
      <c r="H50" s="8">
        <v>0.91</v>
      </c>
      <c r="I50" s="12">
        <v>0</v>
      </c>
    </row>
    <row r="51" spans="2:9" ht="15" customHeight="1" x14ac:dyDescent="0.2">
      <c r="B51" t="s">
        <v>172</v>
      </c>
      <c r="C51" s="12">
        <v>10</v>
      </c>
      <c r="D51" s="8">
        <v>4</v>
      </c>
      <c r="E51" s="12">
        <v>10</v>
      </c>
      <c r="F51" s="8">
        <v>7.3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176</v>
      </c>
      <c r="C52" s="12">
        <v>10</v>
      </c>
      <c r="D52" s="8">
        <v>4</v>
      </c>
      <c r="E52" s="12">
        <v>8</v>
      </c>
      <c r="F52" s="8">
        <v>5.84</v>
      </c>
      <c r="G52" s="12">
        <v>2</v>
      </c>
      <c r="H52" s="8">
        <v>1.82</v>
      </c>
      <c r="I52" s="12">
        <v>0</v>
      </c>
    </row>
    <row r="53" spans="2:9" ht="15" customHeight="1" x14ac:dyDescent="0.2">
      <c r="B53" t="s">
        <v>173</v>
      </c>
      <c r="C53" s="12">
        <v>9</v>
      </c>
      <c r="D53" s="8">
        <v>3.6</v>
      </c>
      <c r="E53" s="12">
        <v>9</v>
      </c>
      <c r="F53" s="8">
        <v>6.57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167</v>
      </c>
      <c r="C54" s="12">
        <v>7</v>
      </c>
      <c r="D54" s="8">
        <v>2.8</v>
      </c>
      <c r="E54" s="12">
        <v>7</v>
      </c>
      <c r="F54" s="8">
        <v>5.1100000000000003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169</v>
      </c>
      <c r="C55" s="12">
        <v>7</v>
      </c>
      <c r="D55" s="8">
        <v>2.8</v>
      </c>
      <c r="E55" s="12">
        <v>7</v>
      </c>
      <c r="F55" s="8">
        <v>5.1100000000000003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216</v>
      </c>
      <c r="C56" s="12">
        <v>6</v>
      </c>
      <c r="D56" s="8">
        <v>2.4</v>
      </c>
      <c r="E56" s="12">
        <v>5</v>
      </c>
      <c r="F56" s="8">
        <v>3.65</v>
      </c>
      <c r="G56" s="12">
        <v>1</v>
      </c>
      <c r="H56" s="8">
        <v>0.91</v>
      </c>
      <c r="I56" s="12">
        <v>0</v>
      </c>
    </row>
    <row r="57" spans="2:9" ht="15" customHeight="1" x14ac:dyDescent="0.2">
      <c r="B57" t="s">
        <v>160</v>
      </c>
      <c r="C57" s="12">
        <v>6</v>
      </c>
      <c r="D57" s="8">
        <v>2.4</v>
      </c>
      <c r="E57" s="12">
        <v>2</v>
      </c>
      <c r="F57" s="8">
        <v>1.46</v>
      </c>
      <c r="G57" s="12">
        <v>4</v>
      </c>
      <c r="H57" s="8">
        <v>3.64</v>
      </c>
      <c r="I57" s="12">
        <v>0</v>
      </c>
    </row>
    <row r="58" spans="2:9" ht="15" customHeight="1" x14ac:dyDescent="0.2">
      <c r="B58" t="s">
        <v>265</v>
      </c>
      <c r="C58" s="12">
        <v>6</v>
      </c>
      <c r="D58" s="8">
        <v>2.4</v>
      </c>
      <c r="E58" s="12">
        <v>0</v>
      </c>
      <c r="F58" s="8">
        <v>0</v>
      </c>
      <c r="G58" s="12">
        <v>6</v>
      </c>
      <c r="H58" s="8">
        <v>5.45</v>
      </c>
      <c r="I58" s="12">
        <v>0</v>
      </c>
    </row>
    <row r="59" spans="2:9" ht="15" customHeight="1" x14ac:dyDescent="0.2">
      <c r="B59" t="s">
        <v>163</v>
      </c>
      <c r="C59" s="12">
        <v>6</v>
      </c>
      <c r="D59" s="8">
        <v>2.4</v>
      </c>
      <c r="E59" s="12">
        <v>5</v>
      </c>
      <c r="F59" s="8">
        <v>3.65</v>
      </c>
      <c r="G59" s="12">
        <v>1</v>
      </c>
      <c r="H59" s="8">
        <v>0.91</v>
      </c>
      <c r="I59" s="12">
        <v>0</v>
      </c>
    </row>
    <row r="60" spans="2:9" ht="15" customHeight="1" x14ac:dyDescent="0.2">
      <c r="B60" t="s">
        <v>166</v>
      </c>
      <c r="C60" s="12">
        <v>6</v>
      </c>
      <c r="D60" s="8">
        <v>2.4</v>
      </c>
      <c r="E60" s="12">
        <v>1</v>
      </c>
      <c r="F60" s="8">
        <v>0.73</v>
      </c>
      <c r="G60" s="12">
        <v>5</v>
      </c>
      <c r="H60" s="8">
        <v>4.55</v>
      </c>
      <c r="I60" s="12">
        <v>0</v>
      </c>
    </row>
    <row r="61" spans="2:9" ht="15" customHeight="1" x14ac:dyDescent="0.2">
      <c r="B61" t="s">
        <v>158</v>
      </c>
      <c r="C61" s="12">
        <v>5</v>
      </c>
      <c r="D61" s="8">
        <v>2</v>
      </c>
      <c r="E61" s="12">
        <v>1</v>
      </c>
      <c r="F61" s="8">
        <v>0.73</v>
      </c>
      <c r="G61" s="12">
        <v>4</v>
      </c>
      <c r="H61" s="8">
        <v>3.64</v>
      </c>
      <c r="I61" s="12">
        <v>0</v>
      </c>
    </row>
    <row r="62" spans="2:9" ht="15" customHeight="1" x14ac:dyDescent="0.2">
      <c r="B62" t="s">
        <v>207</v>
      </c>
      <c r="C62" s="12">
        <v>5</v>
      </c>
      <c r="D62" s="8">
        <v>2</v>
      </c>
      <c r="E62" s="12">
        <v>0</v>
      </c>
      <c r="F62" s="8">
        <v>0</v>
      </c>
      <c r="G62" s="12">
        <v>5</v>
      </c>
      <c r="H62" s="8">
        <v>4.55</v>
      </c>
      <c r="I62" s="12">
        <v>0</v>
      </c>
    </row>
    <row r="63" spans="2:9" ht="15" customHeight="1" x14ac:dyDescent="0.2">
      <c r="B63" t="s">
        <v>164</v>
      </c>
      <c r="C63" s="12">
        <v>5</v>
      </c>
      <c r="D63" s="8">
        <v>2</v>
      </c>
      <c r="E63" s="12">
        <v>3</v>
      </c>
      <c r="F63" s="8">
        <v>2.19</v>
      </c>
      <c r="G63" s="12">
        <v>2</v>
      </c>
      <c r="H63" s="8">
        <v>1.82</v>
      </c>
      <c r="I63" s="12">
        <v>0</v>
      </c>
    </row>
    <row r="64" spans="2:9" ht="15" customHeight="1" x14ac:dyDescent="0.2">
      <c r="B64" t="s">
        <v>170</v>
      </c>
      <c r="C64" s="12">
        <v>5</v>
      </c>
      <c r="D64" s="8">
        <v>2</v>
      </c>
      <c r="E64" s="12">
        <v>5</v>
      </c>
      <c r="F64" s="8">
        <v>3.65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180</v>
      </c>
      <c r="C65" s="12">
        <v>4</v>
      </c>
      <c r="D65" s="8">
        <v>1.6</v>
      </c>
      <c r="E65" s="12">
        <v>1</v>
      </c>
      <c r="F65" s="8">
        <v>0.73</v>
      </c>
      <c r="G65" s="12">
        <v>3</v>
      </c>
      <c r="H65" s="8">
        <v>2.73</v>
      </c>
      <c r="I65" s="12">
        <v>0</v>
      </c>
    </row>
    <row r="66" spans="2:9" ht="15" customHeight="1" x14ac:dyDescent="0.2">
      <c r="B66" t="s">
        <v>161</v>
      </c>
      <c r="C66" s="12">
        <v>4</v>
      </c>
      <c r="D66" s="8">
        <v>1.6</v>
      </c>
      <c r="E66" s="12">
        <v>0</v>
      </c>
      <c r="F66" s="8">
        <v>0</v>
      </c>
      <c r="G66" s="12">
        <v>4</v>
      </c>
      <c r="H66" s="8">
        <v>3.64</v>
      </c>
      <c r="I66" s="12">
        <v>0</v>
      </c>
    </row>
    <row r="67" spans="2:9" ht="15" customHeight="1" x14ac:dyDescent="0.2">
      <c r="B67" t="s">
        <v>204</v>
      </c>
      <c r="C67" s="12">
        <v>4</v>
      </c>
      <c r="D67" s="8">
        <v>1.6</v>
      </c>
      <c r="E67" s="12">
        <v>2</v>
      </c>
      <c r="F67" s="8">
        <v>1.46</v>
      </c>
      <c r="G67" s="12">
        <v>2</v>
      </c>
      <c r="H67" s="8">
        <v>1.82</v>
      </c>
      <c r="I67" s="12">
        <v>0</v>
      </c>
    </row>
    <row r="68" spans="2:9" ht="15" customHeight="1" x14ac:dyDescent="0.2">
      <c r="B68" t="s">
        <v>205</v>
      </c>
      <c r="C68" s="12">
        <v>4</v>
      </c>
      <c r="D68" s="8">
        <v>1.6</v>
      </c>
      <c r="E68" s="12">
        <v>2</v>
      </c>
      <c r="F68" s="8">
        <v>1.46</v>
      </c>
      <c r="G68" s="12">
        <v>2</v>
      </c>
      <c r="H68" s="8">
        <v>1.82</v>
      </c>
      <c r="I68" s="12">
        <v>0</v>
      </c>
    </row>
    <row r="69" spans="2:9" ht="15" customHeight="1" x14ac:dyDescent="0.2">
      <c r="B69" t="s">
        <v>206</v>
      </c>
      <c r="C69" s="12">
        <v>4</v>
      </c>
      <c r="D69" s="8">
        <v>1.6</v>
      </c>
      <c r="E69" s="12">
        <v>4</v>
      </c>
      <c r="F69" s="8">
        <v>2.92</v>
      </c>
      <c r="G69" s="12">
        <v>0</v>
      </c>
      <c r="H69" s="8">
        <v>0</v>
      </c>
      <c r="I69" s="12">
        <v>0</v>
      </c>
    </row>
    <row r="71" spans="2:9" ht="15" customHeight="1" x14ac:dyDescent="0.2">
      <c r="B71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6C708-BAE3-42EB-BF6D-21B0513F0C9A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341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95</v>
      </c>
      <c r="D6" s="8">
        <v>17.399999999999999</v>
      </c>
      <c r="E6" s="12">
        <v>39</v>
      </c>
      <c r="F6" s="8">
        <v>13.36</v>
      </c>
      <c r="G6" s="12">
        <v>56</v>
      </c>
      <c r="H6" s="8">
        <v>22.67</v>
      </c>
      <c r="I6" s="12">
        <v>0</v>
      </c>
    </row>
    <row r="7" spans="2:9" ht="15" customHeight="1" x14ac:dyDescent="0.2">
      <c r="B7" t="s">
        <v>76</v>
      </c>
      <c r="C7" s="12">
        <v>54</v>
      </c>
      <c r="D7" s="8">
        <v>9.89</v>
      </c>
      <c r="E7" s="12">
        <v>19</v>
      </c>
      <c r="F7" s="8">
        <v>6.51</v>
      </c>
      <c r="G7" s="12">
        <v>35</v>
      </c>
      <c r="H7" s="8">
        <v>14.17</v>
      </c>
      <c r="I7" s="12">
        <v>0</v>
      </c>
    </row>
    <row r="8" spans="2:9" ht="15" customHeight="1" x14ac:dyDescent="0.2">
      <c r="B8" t="s">
        <v>77</v>
      </c>
      <c r="C8" s="12">
        <v>2</v>
      </c>
      <c r="D8" s="8">
        <v>0.37</v>
      </c>
      <c r="E8" s="12">
        <v>0</v>
      </c>
      <c r="F8" s="8">
        <v>0</v>
      </c>
      <c r="G8" s="12">
        <v>2</v>
      </c>
      <c r="H8" s="8">
        <v>0.81</v>
      </c>
      <c r="I8" s="12">
        <v>0</v>
      </c>
    </row>
    <row r="9" spans="2:9" ht="15" customHeight="1" x14ac:dyDescent="0.2">
      <c r="B9" t="s">
        <v>78</v>
      </c>
      <c r="C9" s="12">
        <v>6</v>
      </c>
      <c r="D9" s="8">
        <v>1.1000000000000001</v>
      </c>
      <c r="E9" s="12">
        <v>0</v>
      </c>
      <c r="F9" s="8">
        <v>0</v>
      </c>
      <c r="G9" s="12">
        <v>6</v>
      </c>
      <c r="H9" s="8">
        <v>2.4300000000000002</v>
      </c>
      <c r="I9" s="12">
        <v>0</v>
      </c>
    </row>
    <row r="10" spans="2:9" ht="15" customHeight="1" x14ac:dyDescent="0.2">
      <c r="B10" t="s">
        <v>79</v>
      </c>
      <c r="C10" s="12">
        <v>7</v>
      </c>
      <c r="D10" s="8">
        <v>1.28</v>
      </c>
      <c r="E10" s="12">
        <v>4</v>
      </c>
      <c r="F10" s="8">
        <v>1.37</v>
      </c>
      <c r="G10" s="12">
        <v>3</v>
      </c>
      <c r="H10" s="8">
        <v>1.21</v>
      </c>
      <c r="I10" s="12">
        <v>0</v>
      </c>
    </row>
    <row r="11" spans="2:9" ht="15" customHeight="1" x14ac:dyDescent="0.2">
      <c r="B11" t="s">
        <v>80</v>
      </c>
      <c r="C11" s="12">
        <v>123</v>
      </c>
      <c r="D11" s="8">
        <v>22.53</v>
      </c>
      <c r="E11" s="12">
        <v>59</v>
      </c>
      <c r="F11" s="8">
        <v>20.21</v>
      </c>
      <c r="G11" s="12">
        <v>64</v>
      </c>
      <c r="H11" s="8">
        <v>25.91</v>
      </c>
      <c r="I11" s="12">
        <v>0</v>
      </c>
    </row>
    <row r="12" spans="2:9" ht="15" customHeight="1" x14ac:dyDescent="0.2">
      <c r="B12" t="s">
        <v>81</v>
      </c>
      <c r="C12" s="12">
        <v>4</v>
      </c>
      <c r="D12" s="8">
        <v>0.73</v>
      </c>
      <c r="E12" s="12">
        <v>1</v>
      </c>
      <c r="F12" s="8">
        <v>0.34</v>
      </c>
      <c r="G12" s="12">
        <v>3</v>
      </c>
      <c r="H12" s="8">
        <v>1.21</v>
      </c>
      <c r="I12" s="12">
        <v>0</v>
      </c>
    </row>
    <row r="13" spans="2:9" ht="15" customHeight="1" x14ac:dyDescent="0.2">
      <c r="B13" t="s">
        <v>82</v>
      </c>
      <c r="C13" s="12">
        <v>30</v>
      </c>
      <c r="D13" s="8">
        <v>5.49</v>
      </c>
      <c r="E13" s="12">
        <v>12</v>
      </c>
      <c r="F13" s="8">
        <v>4.1100000000000003</v>
      </c>
      <c r="G13" s="12">
        <v>18</v>
      </c>
      <c r="H13" s="8">
        <v>7.29</v>
      </c>
      <c r="I13" s="12">
        <v>0</v>
      </c>
    </row>
    <row r="14" spans="2:9" ht="15" customHeight="1" x14ac:dyDescent="0.2">
      <c r="B14" t="s">
        <v>83</v>
      </c>
      <c r="C14" s="12">
        <v>16</v>
      </c>
      <c r="D14" s="8">
        <v>2.93</v>
      </c>
      <c r="E14" s="12">
        <v>9</v>
      </c>
      <c r="F14" s="8">
        <v>3.08</v>
      </c>
      <c r="G14" s="12">
        <v>7</v>
      </c>
      <c r="H14" s="8">
        <v>2.83</v>
      </c>
      <c r="I14" s="12">
        <v>0</v>
      </c>
    </row>
    <row r="15" spans="2:9" ht="15" customHeight="1" x14ac:dyDescent="0.2">
      <c r="B15" t="s">
        <v>84</v>
      </c>
      <c r="C15" s="12">
        <v>58</v>
      </c>
      <c r="D15" s="8">
        <v>10.62</v>
      </c>
      <c r="E15" s="12">
        <v>46</v>
      </c>
      <c r="F15" s="8">
        <v>15.75</v>
      </c>
      <c r="G15" s="12">
        <v>12</v>
      </c>
      <c r="H15" s="8">
        <v>4.8600000000000003</v>
      </c>
      <c r="I15" s="12">
        <v>0</v>
      </c>
    </row>
    <row r="16" spans="2:9" ht="15" customHeight="1" x14ac:dyDescent="0.2">
      <c r="B16" t="s">
        <v>85</v>
      </c>
      <c r="C16" s="12">
        <v>81</v>
      </c>
      <c r="D16" s="8">
        <v>14.84</v>
      </c>
      <c r="E16" s="12">
        <v>63</v>
      </c>
      <c r="F16" s="8">
        <v>21.58</v>
      </c>
      <c r="G16" s="12">
        <v>18</v>
      </c>
      <c r="H16" s="8">
        <v>7.29</v>
      </c>
      <c r="I16" s="12">
        <v>0</v>
      </c>
    </row>
    <row r="17" spans="2:9" ht="15" customHeight="1" x14ac:dyDescent="0.2">
      <c r="B17" t="s">
        <v>86</v>
      </c>
      <c r="C17" s="12">
        <v>23</v>
      </c>
      <c r="D17" s="8">
        <v>4.21</v>
      </c>
      <c r="E17" s="12">
        <v>10</v>
      </c>
      <c r="F17" s="8">
        <v>3.42</v>
      </c>
      <c r="G17" s="12">
        <v>7</v>
      </c>
      <c r="H17" s="8">
        <v>2.83</v>
      </c>
      <c r="I17" s="12">
        <v>0</v>
      </c>
    </row>
    <row r="18" spans="2:9" ht="15" customHeight="1" x14ac:dyDescent="0.2">
      <c r="B18" t="s">
        <v>87</v>
      </c>
      <c r="C18" s="12">
        <v>28</v>
      </c>
      <c r="D18" s="8">
        <v>5.13</v>
      </c>
      <c r="E18" s="12">
        <v>17</v>
      </c>
      <c r="F18" s="8">
        <v>5.82</v>
      </c>
      <c r="G18" s="12">
        <v>10</v>
      </c>
      <c r="H18" s="8">
        <v>4.05</v>
      </c>
      <c r="I18" s="12">
        <v>1</v>
      </c>
    </row>
    <row r="19" spans="2:9" ht="15" customHeight="1" x14ac:dyDescent="0.2">
      <c r="B19" t="s">
        <v>88</v>
      </c>
      <c r="C19" s="12">
        <v>19</v>
      </c>
      <c r="D19" s="8">
        <v>3.48</v>
      </c>
      <c r="E19" s="12">
        <v>13</v>
      </c>
      <c r="F19" s="8">
        <v>4.45</v>
      </c>
      <c r="G19" s="12">
        <v>6</v>
      </c>
      <c r="H19" s="8">
        <v>2.4300000000000002</v>
      </c>
      <c r="I19" s="12">
        <v>0</v>
      </c>
    </row>
    <row r="20" spans="2:9" ht="15" customHeight="1" x14ac:dyDescent="0.2">
      <c r="B20" s="9" t="s">
        <v>269</v>
      </c>
      <c r="C20" s="12">
        <f>SUM(LTBL_11385[総数／事業所数])</f>
        <v>546</v>
      </c>
      <c r="E20" s="12">
        <f>SUBTOTAL(109,LTBL_11385[個人／事業所数])</f>
        <v>292</v>
      </c>
      <c r="G20" s="12">
        <f>SUBTOTAL(109,LTBL_11385[法人／事業所数])</f>
        <v>247</v>
      </c>
      <c r="I20" s="12">
        <f>SUBTOTAL(109,LTBL_11385[法人以外の団体／事業所数])</f>
        <v>1</v>
      </c>
    </row>
    <row r="21" spans="2:9" ht="15" customHeight="1" x14ac:dyDescent="0.2">
      <c r="E21" s="11">
        <f>LTBL_11385[[#Totals],[個人／事業所数]]/LTBL_11385[[#Totals],[総数／事業所数]]</f>
        <v>0.53479853479853479</v>
      </c>
      <c r="G21" s="11">
        <f>LTBL_11385[[#Totals],[法人／事業所数]]/LTBL_11385[[#Totals],[総数／事業所数]]</f>
        <v>0.45238095238095238</v>
      </c>
      <c r="I21" s="11">
        <f>LTBL_11385[[#Totals],[法人以外の団体／事業所数]]/LTBL_11385[[#Totals],[総数／事業所数]]</f>
        <v>1.8315018315018315E-3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65</v>
      </c>
      <c r="D24" s="8">
        <v>11.9</v>
      </c>
      <c r="E24" s="12">
        <v>56</v>
      </c>
      <c r="F24" s="8">
        <v>19.18</v>
      </c>
      <c r="G24" s="12">
        <v>9</v>
      </c>
      <c r="H24" s="8">
        <v>3.64</v>
      </c>
      <c r="I24" s="12">
        <v>0</v>
      </c>
    </row>
    <row r="25" spans="2:9" ht="15" customHeight="1" x14ac:dyDescent="0.2">
      <c r="B25" t="s">
        <v>111</v>
      </c>
      <c r="C25" s="12">
        <v>53</v>
      </c>
      <c r="D25" s="8">
        <v>9.7100000000000009</v>
      </c>
      <c r="E25" s="12">
        <v>44</v>
      </c>
      <c r="F25" s="8">
        <v>15.07</v>
      </c>
      <c r="G25" s="12">
        <v>9</v>
      </c>
      <c r="H25" s="8">
        <v>3.64</v>
      </c>
      <c r="I25" s="12">
        <v>0</v>
      </c>
    </row>
    <row r="26" spans="2:9" ht="15" customHeight="1" x14ac:dyDescent="0.2">
      <c r="B26" t="s">
        <v>97</v>
      </c>
      <c r="C26" s="12">
        <v>51</v>
      </c>
      <c r="D26" s="8">
        <v>9.34</v>
      </c>
      <c r="E26" s="12">
        <v>18</v>
      </c>
      <c r="F26" s="8">
        <v>6.16</v>
      </c>
      <c r="G26" s="12">
        <v>33</v>
      </c>
      <c r="H26" s="8">
        <v>13.36</v>
      </c>
      <c r="I26" s="12">
        <v>0</v>
      </c>
    </row>
    <row r="27" spans="2:9" ht="15" customHeight="1" x14ac:dyDescent="0.2">
      <c r="B27" t="s">
        <v>106</v>
      </c>
      <c r="C27" s="12">
        <v>40</v>
      </c>
      <c r="D27" s="8">
        <v>7.33</v>
      </c>
      <c r="E27" s="12">
        <v>21</v>
      </c>
      <c r="F27" s="8">
        <v>7.19</v>
      </c>
      <c r="G27" s="12">
        <v>19</v>
      </c>
      <c r="H27" s="8">
        <v>7.69</v>
      </c>
      <c r="I27" s="12">
        <v>0</v>
      </c>
    </row>
    <row r="28" spans="2:9" ht="15" customHeight="1" x14ac:dyDescent="0.2">
      <c r="B28" t="s">
        <v>98</v>
      </c>
      <c r="C28" s="12">
        <v>26</v>
      </c>
      <c r="D28" s="8">
        <v>4.76</v>
      </c>
      <c r="E28" s="12">
        <v>14</v>
      </c>
      <c r="F28" s="8">
        <v>4.79</v>
      </c>
      <c r="G28" s="12">
        <v>12</v>
      </c>
      <c r="H28" s="8">
        <v>4.8600000000000003</v>
      </c>
      <c r="I28" s="12">
        <v>0</v>
      </c>
    </row>
    <row r="29" spans="2:9" ht="15" customHeight="1" x14ac:dyDescent="0.2">
      <c r="B29" t="s">
        <v>114</v>
      </c>
      <c r="C29" s="12">
        <v>23</v>
      </c>
      <c r="D29" s="8">
        <v>4.21</v>
      </c>
      <c r="E29" s="12">
        <v>10</v>
      </c>
      <c r="F29" s="8">
        <v>3.42</v>
      </c>
      <c r="G29" s="12">
        <v>7</v>
      </c>
      <c r="H29" s="8">
        <v>2.83</v>
      </c>
      <c r="I29" s="12">
        <v>0</v>
      </c>
    </row>
    <row r="30" spans="2:9" ht="15" customHeight="1" x14ac:dyDescent="0.2">
      <c r="B30" t="s">
        <v>115</v>
      </c>
      <c r="C30" s="12">
        <v>21</v>
      </c>
      <c r="D30" s="8">
        <v>3.85</v>
      </c>
      <c r="E30" s="12">
        <v>17</v>
      </c>
      <c r="F30" s="8">
        <v>5.82</v>
      </c>
      <c r="G30" s="12">
        <v>4</v>
      </c>
      <c r="H30" s="8">
        <v>1.62</v>
      </c>
      <c r="I30" s="12">
        <v>0</v>
      </c>
    </row>
    <row r="31" spans="2:9" ht="15" customHeight="1" x14ac:dyDescent="0.2">
      <c r="B31" t="s">
        <v>104</v>
      </c>
      <c r="C31" s="12">
        <v>20</v>
      </c>
      <c r="D31" s="8">
        <v>3.66</v>
      </c>
      <c r="E31" s="12">
        <v>14</v>
      </c>
      <c r="F31" s="8">
        <v>4.79</v>
      </c>
      <c r="G31" s="12">
        <v>6</v>
      </c>
      <c r="H31" s="8">
        <v>2.4300000000000002</v>
      </c>
      <c r="I31" s="12">
        <v>0</v>
      </c>
    </row>
    <row r="32" spans="2:9" ht="15" customHeight="1" x14ac:dyDescent="0.2">
      <c r="B32" t="s">
        <v>99</v>
      </c>
      <c r="C32" s="12">
        <v>18</v>
      </c>
      <c r="D32" s="8">
        <v>3.3</v>
      </c>
      <c r="E32" s="12">
        <v>7</v>
      </c>
      <c r="F32" s="8">
        <v>2.4</v>
      </c>
      <c r="G32" s="12">
        <v>11</v>
      </c>
      <c r="H32" s="8">
        <v>4.45</v>
      </c>
      <c r="I32" s="12">
        <v>0</v>
      </c>
    </row>
    <row r="33" spans="2:9" ht="15" customHeight="1" x14ac:dyDescent="0.2">
      <c r="B33" t="s">
        <v>105</v>
      </c>
      <c r="C33" s="12">
        <v>18</v>
      </c>
      <c r="D33" s="8">
        <v>3.3</v>
      </c>
      <c r="E33" s="12">
        <v>11</v>
      </c>
      <c r="F33" s="8">
        <v>3.77</v>
      </c>
      <c r="G33" s="12">
        <v>7</v>
      </c>
      <c r="H33" s="8">
        <v>2.83</v>
      </c>
      <c r="I33" s="12">
        <v>0</v>
      </c>
    </row>
    <row r="34" spans="2:9" ht="15" customHeight="1" x14ac:dyDescent="0.2">
      <c r="B34" t="s">
        <v>108</v>
      </c>
      <c r="C34" s="12">
        <v>18</v>
      </c>
      <c r="D34" s="8">
        <v>3.3</v>
      </c>
      <c r="E34" s="12">
        <v>8</v>
      </c>
      <c r="F34" s="8">
        <v>2.74</v>
      </c>
      <c r="G34" s="12">
        <v>10</v>
      </c>
      <c r="H34" s="8">
        <v>4.05</v>
      </c>
      <c r="I34" s="12">
        <v>0</v>
      </c>
    </row>
    <row r="35" spans="2:9" ht="15" customHeight="1" x14ac:dyDescent="0.2">
      <c r="B35" t="s">
        <v>103</v>
      </c>
      <c r="C35" s="12">
        <v>15</v>
      </c>
      <c r="D35" s="8">
        <v>2.75</v>
      </c>
      <c r="E35" s="12">
        <v>6</v>
      </c>
      <c r="F35" s="8">
        <v>2.0499999999999998</v>
      </c>
      <c r="G35" s="12">
        <v>9</v>
      </c>
      <c r="H35" s="8">
        <v>3.64</v>
      </c>
      <c r="I35" s="12">
        <v>0</v>
      </c>
    </row>
    <row r="36" spans="2:9" ht="15" customHeight="1" x14ac:dyDescent="0.2">
      <c r="B36" t="s">
        <v>116</v>
      </c>
      <c r="C36" s="12">
        <v>14</v>
      </c>
      <c r="D36" s="8">
        <v>2.56</v>
      </c>
      <c r="E36" s="12">
        <v>12</v>
      </c>
      <c r="F36" s="8">
        <v>4.1100000000000003</v>
      </c>
      <c r="G36" s="12">
        <v>2</v>
      </c>
      <c r="H36" s="8">
        <v>0.81</v>
      </c>
      <c r="I36" s="12">
        <v>0</v>
      </c>
    </row>
    <row r="37" spans="2:9" ht="15" customHeight="1" x14ac:dyDescent="0.2">
      <c r="B37" t="s">
        <v>113</v>
      </c>
      <c r="C37" s="12">
        <v>12</v>
      </c>
      <c r="D37" s="8">
        <v>2.2000000000000002</v>
      </c>
      <c r="E37" s="12">
        <v>6</v>
      </c>
      <c r="F37" s="8">
        <v>2.0499999999999998</v>
      </c>
      <c r="G37" s="12">
        <v>6</v>
      </c>
      <c r="H37" s="8">
        <v>2.4300000000000002</v>
      </c>
      <c r="I37" s="12">
        <v>0</v>
      </c>
    </row>
    <row r="38" spans="2:9" ht="15" customHeight="1" x14ac:dyDescent="0.2">
      <c r="B38" t="s">
        <v>107</v>
      </c>
      <c r="C38" s="12">
        <v>11</v>
      </c>
      <c r="D38" s="8">
        <v>2.0099999999999998</v>
      </c>
      <c r="E38" s="12">
        <v>4</v>
      </c>
      <c r="F38" s="8">
        <v>1.37</v>
      </c>
      <c r="G38" s="12">
        <v>7</v>
      </c>
      <c r="H38" s="8">
        <v>2.83</v>
      </c>
      <c r="I38" s="12">
        <v>0</v>
      </c>
    </row>
    <row r="39" spans="2:9" ht="15" customHeight="1" x14ac:dyDescent="0.2">
      <c r="B39" t="s">
        <v>100</v>
      </c>
      <c r="C39" s="12">
        <v>9</v>
      </c>
      <c r="D39" s="8">
        <v>1.65</v>
      </c>
      <c r="E39" s="12">
        <v>1</v>
      </c>
      <c r="F39" s="8">
        <v>0.34</v>
      </c>
      <c r="G39" s="12">
        <v>8</v>
      </c>
      <c r="H39" s="8">
        <v>3.24</v>
      </c>
      <c r="I39" s="12">
        <v>0</v>
      </c>
    </row>
    <row r="40" spans="2:9" ht="15" customHeight="1" x14ac:dyDescent="0.2">
      <c r="B40" t="s">
        <v>101</v>
      </c>
      <c r="C40" s="12">
        <v>8</v>
      </c>
      <c r="D40" s="8">
        <v>1.47</v>
      </c>
      <c r="E40" s="12">
        <v>3</v>
      </c>
      <c r="F40" s="8">
        <v>1.03</v>
      </c>
      <c r="G40" s="12">
        <v>5</v>
      </c>
      <c r="H40" s="8">
        <v>2.02</v>
      </c>
      <c r="I40" s="12">
        <v>0</v>
      </c>
    </row>
    <row r="41" spans="2:9" ht="15" customHeight="1" x14ac:dyDescent="0.2">
      <c r="B41" t="s">
        <v>110</v>
      </c>
      <c r="C41" s="12">
        <v>8</v>
      </c>
      <c r="D41" s="8">
        <v>1.47</v>
      </c>
      <c r="E41" s="12">
        <v>4</v>
      </c>
      <c r="F41" s="8">
        <v>1.37</v>
      </c>
      <c r="G41" s="12">
        <v>4</v>
      </c>
      <c r="H41" s="8">
        <v>1.62</v>
      </c>
      <c r="I41" s="12">
        <v>0</v>
      </c>
    </row>
    <row r="42" spans="2:9" ht="15" customHeight="1" x14ac:dyDescent="0.2">
      <c r="B42" t="s">
        <v>102</v>
      </c>
      <c r="C42" s="12">
        <v>7</v>
      </c>
      <c r="D42" s="8">
        <v>1.28</v>
      </c>
      <c r="E42" s="12">
        <v>0</v>
      </c>
      <c r="F42" s="8">
        <v>0</v>
      </c>
      <c r="G42" s="12">
        <v>7</v>
      </c>
      <c r="H42" s="8">
        <v>2.83</v>
      </c>
      <c r="I42" s="12">
        <v>0</v>
      </c>
    </row>
    <row r="43" spans="2:9" ht="15" customHeight="1" x14ac:dyDescent="0.2">
      <c r="B43" t="s">
        <v>109</v>
      </c>
      <c r="C43" s="12">
        <v>7</v>
      </c>
      <c r="D43" s="8">
        <v>1.28</v>
      </c>
      <c r="E43" s="12">
        <v>5</v>
      </c>
      <c r="F43" s="8">
        <v>1.71</v>
      </c>
      <c r="G43" s="12">
        <v>2</v>
      </c>
      <c r="H43" s="8">
        <v>0.81</v>
      </c>
      <c r="I43" s="12">
        <v>0</v>
      </c>
    </row>
    <row r="44" spans="2:9" ht="15" customHeight="1" x14ac:dyDescent="0.2">
      <c r="B44" t="s">
        <v>118</v>
      </c>
      <c r="C44" s="12">
        <v>7</v>
      </c>
      <c r="D44" s="8">
        <v>1.28</v>
      </c>
      <c r="E44" s="12">
        <v>0</v>
      </c>
      <c r="F44" s="8">
        <v>0</v>
      </c>
      <c r="G44" s="12">
        <v>6</v>
      </c>
      <c r="H44" s="8">
        <v>2.4300000000000002</v>
      </c>
      <c r="I44" s="12">
        <v>1</v>
      </c>
    </row>
    <row r="47" spans="2:9" ht="33" customHeight="1" x14ac:dyDescent="0.2">
      <c r="B47" t="s">
        <v>271</v>
      </c>
      <c r="C47" s="10" t="s">
        <v>90</v>
      </c>
      <c r="D47" s="10" t="s">
        <v>91</v>
      </c>
      <c r="E47" s="10" t="s">
        <v>92</v>
      </c>
      <c r="F47" s="10" t="s">
        <v>93</v>
      </c>
      <c r="G47" s="10" t="s">
        <v>94</v>
      </c>
      <c r="H47" s="10" t="s">
        <v>95</v>
      </c>
      <c r="I47" s="10" t="s">
        <v>96</v>
      </c>
    </row>
    <row r="48" spans="2:9" ht="15" customHeight="1" x14ac:dyDescent="0.2">
      <c r="B48" t="s">
        <v>173</v>
      </c>
      <c r="C48" s="12">
        <v>30</v>
      </c>
      <c r="D48" s="8">
        <v>5.49</v>
      </c>
      <c r="E48" s="12">
        <v>29</v>
      </c>
      <c r="F48" s="8">
        <v>9.93</v>
      </c>
      <c r="G48" s="12">
        <v>1</v>
      </c>
      <c r="H48" s="8">
        <v>0.4</v>
      </c>
      <c r="I48" s="12">
        <v>0</v>
      </c>
    </row>
    <row r="49" spans="2:9" ht="15" customHeight="1" x14ac:dyDescent="0.2">
      <c r="B49" t="s">
        <v>172</v>
      </c>
      <c r="C49" s="12">
        <v>24</v>
      </c>
      <c r="D49" s="8">
        <v>4.4000000000000004</v>
      </c>
      <c r="E49" s="12">
        <v>22</v>
      </c>
      <c r="F49" s="8">
        <v>7.53</v>
      </c>
      <c r="G49" s="12">
        <v>2</v>
      </c>
      <c r="H49" s="8">
        <v>0.81</v>
      </c>
      <c r="I49" s="12">
        <v>0</v>
      </c>
    </row>
    <row r="50" spans="2:9" ht="15" customHeight="1" x14ac:dyDescent="0.2">
      <c r="B50" t="s">
        <v>159</v>
      </c>
      <c r="C50" s="12">
        <v>18</v>
      </c>
      <c r="D50" s="8">
        <v>3.3</v>
      </c>
      <c r="E50" s="12">
        <v>10</v>
      </c>
      <c r="F50" s="8">
        <v>3.42</v>
      </c>
      <c r="G50" s="12">
        <v>8</v>
      </c>
      <c r="H50" s="8">
        <v>3.24</v>
      </c>
      <c r="I50" s="12">
        <v>0</v>
      </c>
    </row>
    <row r="51" spans="2:9" ht="15" customHeight="1" x14ac:dyDescent="0.2">
      <c r="B51" t="s">
        <v>157</v>
      </c>
      <c r="C51" s="12">
        <v>14</v>
      </c>
      <c r="D51" s="8">
        <v>2.56</v>
      </c>
      <c r="E51" s="12">
        <v>4</v>
      </c>
      <c r="F51" s="8">
        <v>1.37</v>
      </c>
      <c r="G51" s="12">
        <v>10</v>
      </c>
      <c r="H51" s="8">
        <v>4.05</v>
      </c>
      <c r="I51" s="12">
        <v>0</v>
      </c>
    </row>
    <row r="52" spans="2:9" ht="15" customHeight="1" x14ac:dyDescent="0.2">
      <c r="B52" t="s">
        <v>158</v>
      </c>
      <c r="C52" s="12">
        <v>14</v>
      </c>
      <c r="D52" s="8">
        <v>2.56</v>
      </c>
      <c r="E52" s="12">
        <v>4</v>
      </c>
      <c r="F52" s="8">
        <v>1.37</v>
      </c>
      <c r="G52" s="12">
        <v>10</v>
      </c>
      <c r="H52" s="8">
        <v>4.05</v>
      </c>
      <c r="I52" s="12">
        <v>0</v>
      </c>
    </row>
    <row r="53" spans="2:9" ht="15" customHeight="1" x14ac:dyDescent="0.2">
      <c r="B53" t="s">
        <v>169</v>
      </c>
      <c r="C53" s="12">
        <v>14</v>
      </c>
      <c r="D53" s="8">
        <v>2.56</v>
      </c>
      <c r="E53" s="12">
        <v>9</v>
      </c>
      <c r="F53" s="8">
        <v>3.08</v>
      </c>
      <c r="G53" s="12">
        <v>5</v>
      </c>
      <c r="H53" s="8">
        <v>2.02</v>
      </c>
      <c r="I53" s="12">
        <v>0</v>
      </c>
    </row>
    <row r="54" spans="2:9" ht="15" customHeight="1" x14ac:dyDescent="0.2">
      <c r="B54" t="s">
        <v>176</v>
      </c>
      <c r="C54" s="12">
        <v>14</v>
      </c>
      <c r="D54" s="8">
        <v>2.56</v>
      </c>
      <c r="E54" s="12">
        <v>12</v>
      </c>
      <c r="F54" s="8">
        <v>4.1100000000000003</v>
      </c>
      <c r="G54" s="12">
        <v>2</v>
      </c>
      <c r="H54" s="8">
        <v>0.81</v>
      </c>
      <c r="I54" s="12">
        <v>0</v>
      </c>
    </row>
    <row r="55" spans="2:9" ht="15" customHeight="1" x14ac:dyDescent="0.2">
      <c r="B55" t="s">
        <v>175</v>
      </c>
      <c r="C55" s="12">
        <v>13</v>
      </c>
      <c r="D55" s="8">
        <v>2.38</v>
      </c>
      <c r="E55" s="12">
        <v>10</v>
      </c>
      <c r="F55" s="8">
        <v>3.42</v>
      </c>
      <c r="G55" s="12">
        <v>3</v>
      </c>
      <c r="H55" s="8">
        <v>1.21</v>
      </c>
      <c r="I55" s="12">
        <v>0</v>
      </c>
    </row>
    <row r="56" spans="2:9" ht="15" customHeight="1" x14ac:dyDescent="0.2">
      <c r="B56" t="s">
        <v>163</v>
      </c>
      <c r="C56" s="12">
        <v>12</v>
      </c>
      <c r="D56" s="8">
        <v>2.2000000000000002</v>
      </c>
      <c r="E56" s="12">
        <v>7</v>
      </c>
      <c r="F56" s="8">
        <v>2.4</v>
      </c>
      <c r="G56" s="12">
        <v>5</v>
      </c>
      <c r="H56" s="8">
        <v>2.02</v>
      </c>
      <c r="I56" s="12">
        <v>0</v>
      </c>
    </row>
    <row r="57" spans="2:9" ht="15" customHeight="1" x14ac:dyDescent="0.2">
      <c r="B57" t="s">
        <v>167</v>
      </c>
      <c r="C57" s="12">
        <v>11</v>
      </c>
      <c r="D57" s="8">
        <v>2.0099999999999998</v>
      </c>
      <c r="E57" s="12">
        <v>7</v>
      </c>
      <c r="F57" s="8">
        <v>2.4</v>
      </c>
      <c r="G57" s="12">
        <v>4</v>
      </c>
      <c r="H57" s="8">
        <v>1.62</v>
      </c>
      <c r="I57" s="12">
        <v>0</v>
      </c>
    </row>
    <row r="58" spans="2:9" ht="15" customHeight="1" x14ac:dyDescent="0.2">
      <c r="B58" t="s">
        <v>207</v>
      </c>
      <c r="C58" s="12">
        <v>10</v>
      </c>
      <c r="D58" s="8">
        <v>1.83</v>
      </c>
      <c r="E58" s="12">
        <v>2</v>
      </c>
      <c r="F58" s="8">
        <v>0.68</v>
      </c>
      <c r="G58" s="12">
        <v>8</v>
      </c>
      <c r="H58" s="8">
        <v>3.24</v>
      </c>
      <c r="I58" s="12">
        <v>0</v>
      </c>
    </row>
    <row r="59" spans="2:9" ht="15" customHeight="1" x14ac:dyDescent="0.2">
      <c r="B59" t="s">
        <v>164</v>
      </c>
      <c r="C59" s="12">
        <v>10</v>
      </c>
      <c r="D59" s="8">
        <v>1.83</v>
      </c>
      <c r="E59" s="12">
        <v>8</v>
      </c>
      <c r="F59" s="8">
        <v>2.74</v>
      </c>
      <c r="G59" s="12">
        <v>2</v>
      </c>
      <c r="H59" s="8">
        <v>0.81</v>
      </c>
      <c r="I59" s="12">
        <v>0</v>
      </c>
    </row>
    <row r="60" spans="2:9" ht="15" customHeight="1" x14ac:dyDescent="0.2">
      <c r="B60" t="s">
        <v>170</v>
      </c>
      <c r="C60" s="12">
        <v>10</v>
      </c>
      <c r="D60" s="8">
        <v>1.83</v>
      </c>
      <c r="E60" s="12">
        <v>9</v>
      </c>
      <c r="F60" s="8">
        <v>3.08</v>
      </c>
      <c r="G60" s="12">
        <v>1</v>
      </c>
      <c r="H60" s="8">
        <v>0.4</v>
      </c>
      <c r="I60" s="12">
        <v>0</v>
      </c>
    </row>
    <row r="61" spans="2:9" ht="15" customHeight="1" x14ac:dyDescent="0.2">
      <c r="B61" t="s">
        <v>179</v>
      </c>
      <c r="C61" s="12">
        <v>10</v>
      </c>
      <c r="D61" s="8">
        <v>1.83</v>
      </c>
      <c r="E61" s="12">
        <v>6</v>
      </c>
      <c r="F61" s="8">
        <v>2.0499999999999998</v>
      </c>
      <c r="G61" s="12">
        <v>4</v>
      </c>
      <c r="H61" s="8">
        <v>1.62</v>
      </c>
      <c r="I61" s="12">
        <v>0</v>
      </c>
    </row>
    <row r="62" spans="2:9" ht="15" customHeight="1" x14ac:dyDescent="0.2">
      <c r="B62" t="s">
        <v>185</v>
      </c>
      <c r="C62" s="12">
        <v>9</v>
      </c>
      <c r="D62" s="8">
        <v>1.65</v>
      </c>
      <c r="E62" s="12">
        <v>4</v>
      </c>
      <c r="F62" s="8">
        <v>1.37</v>
      </c>
      <c r="G62" s="12">
        <v>5</v>
      </c>
      <c r="H62" s="8">
        <v>2.02</v>
      </c>
      <c r="I62" s="12">
        <v>0</v>
      </c>
    </row>
    <row r="63" spans="2:9" ht="15" customHeight="1" x14ac:dyDescent="0.2">
      <c r="B63" t="s">
        <v>205</v>
      </c>
      <c r="C63" s="12">
        <v>9</v>
      </c>
      <c r="D63" s="8">
        <v>1.65</v>
      </c>
      <c r="E63" s="12">
        <v>7</v>
      </c>
      <c r="F63" s="8">
        <v>2.4</v>
      </c>
      <c r="G63" s="12">
        <v>2</v>
      </c>
      <c r="H63" s="8">
        <v>0.81</v>
      </c>
      <c r="I63" s="12">
        <v>0</v>
      </c>
    </row>
    <row r="64" spans="2:9" ht="15" customHeight="1" x14ac:dyDescent="0.2">
      <c r="B64" t="s">
        <v>161</v>
      </c>
      <c r="C64" s="12">
        <v>8</v>
      </c>
      <c r="D64" s="8">
        <v>1.47</v>
      </c>
      <c r="E64" s="12">
        <v>3</v>
      </c>
      <c r="F64" s="8">
        <v>1.03</v>
      </c>
      <c r="G64" s="12">
        <v>5</v>
      </c>
      <c r="H64" s="8">
        <v>2.02</v>
      </c>
      <c r="I64" s="12">
        <v>0</v>
      </c>
    </row>
    <row r="65" spans="2:9" ht="15" customHeight="1" x14ac:dyDescent="0.2">
      <c r="B65" t="s">
        <v>186</v>
      </c>
      <c r="C65" s="12">
        <v>8</v>
      </c>
      <c r="D65" s="8">
        <v>1.47</v>
      </c>
      <c r="E65" s="12">
        <v>3</v>
      </c>
      <c r="F65" s="8">
        <v>1.03</v>
      </c>
      <c r="G65" s="12">
        <v>5</v>
      </c>
      <c r="H65" s="8">
        <v>2.02</v>
      </c>
      <c r="I65" s="12">
        <v>0</v>
      </c>
    </row>
    <row r="66" spans="2:9" ht="15" customHeight="1" x14ac:dyDescent="0.2">
      <c r="B66" t="s">
        <v>162</v>
      </c>
      <c r="C66" s="12">
        <v>8</v>
      </c>
      <c r="D66" s="8">
        <v>1.47</v>
      </c>
      <c r="E66" s="12">
        <v>4</v>
      </c>
      <c r="F66" s="8">
        <v>1.37</v>
      </c>
      <c r="G66" s="12">
        <v>4</v>
      </c>
      <c r="H66" s="8">
        <v>1.62</v>
      </c>
      <c r="I66" s="12">
        <v>0</v>
      </c>
    </row>
    <row r="67" spans="2:9" ht="15" customHeight="1" x14ac:dyDescent="0.2">
      <c r="B67" t="s">
        <v>171</v>
      </c>
      <c r="C67" s="12">
        <v>8</v>
      </c>
      <c r="D67" s="8">
        <v>1.47</v>
      </c>
      <c r="E67" s="12">
        <v>4</v>
      </c>
      <c r="F67" s="8">
        <v>1.37</v>
      </c>
      <c r="G67" s="12">
        <v>4</v>
      </c>
      <c r="H67" s="8">
        <v>1.62</v>
      </c>
      <c r="I67" s="12">
        <v>0</v>
      </c>
    </row>
    <row r="69" spans="2:9" ht="15" customHeight="1" x14ac:dyDescent="0.2">
      <c r="B69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4C73F-6A33-4715-B0F1-11FD7428A990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342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111</v>
      </c>
      <c r="D6" s="8">
        <v>15.18</v>
      </c>
      <c r="E6" s="12">
        <v>50</v>
      </c>
      <c r="F6" s="8">
        <v>11.79</v>
      </c>
      <c r="G6" s="12">
        <v>61</v>
      </c>
      <c r="H6" s="8">
        <v>20.399999999999999</v>
      </c>
      <c r="I6" s="12">
        <v>0</v>
      </c>
    </row>
    <row r="7" spans="2:9" ht="15" customHeight="1" x14ac:dyDescent="0.2">
      <c r="B7" t="s">
        <v>76</v>
      </c>
      <c r="C7" s="12">
        <v>79</v>
      </c>
      <c r="D7" s="8">
        <v>10.81</v>
      </c>
      <c r="E7" s="12">
        <v>29</v>
      </c>
      <c r="F7" s="8">
        <v>6.84</v>
      </c>
      <c r="G7" s="12">
        <v>50</v>
      </c>
      <c r="H7" s="8">
        <v>16.72</v>
      </c>
      <c r="I7" s="12">
        <v>0</v>
      </c>
    </row>
    <row r="8" spans="2:9" ht="15" customHeight="1" x14ac:dyDescent="0.2">
      <c r="B8" t="s">
        <v>77</v>
      </c>
      <c r="C8" s="12">
        <v>1</v>
      </c>
      <c r="D8" s="8">
        <v>0.14000000000000001</v>
      </c>
      <c r="E8" s="12">
        <v>0</v>
      </c>
      <c r="F8" s="8">
        <v>0</v>
      </c>
      <c r="G8" s="12">
        <v>1</v>
      </c>
      <c r="H8" s="8">
        <v>0.33</v>
      </c>
      <c r="I8" s="12">
        <v>0</v>
      </c>
    </row>
    <row r="9" spans="2:9" ht="15" customHeight="1" x14ac:dyDescent="0.2">
      <c r="B9" t="s">
        <v>78</v>
      </c>
      <c r="C9" s="12">
        <v>3</v>
      </c>
      <c r="D9" s="8">
        <v>0.41</v>
      </c>
      <c r="E9" s="12">
        <v>0</v>
      </c>
      <c r="F9" s="8">
        <v>0</v>
      </c>
      <c r="G9" s="12">
        <v>3</v>
      </c>
      <c r="H9" s="8">
        <v>1</v>
      </c>
      <c r="I9" s="12">
        <v>0</v>
      </c>
    </row>
    <row r="10" spans="2:9" ht="15" customHeight="1" x14ac:dyDescent="0.2">
      <c r="B10" t="s">
        <v>79</v>
      </c>
      <c r="C10" s="12">
        <v>10</v>
      </c>
      <c r="D10" s="8">
        <v>1.37</v>
      </c>
      <c r="E10" s="12">
        <v>0</v>
      </c>
      <c r="F10" s="8">
        <v>0</v>
      </c>
      <c r="G10" s="12">
        <v>10</v>
      </c>
      <c r="H10" s="8">
        <v>3.34</v>
      </c>
      <c r="I10" s="12">
        <v>0</v>
      </c>
    </row>
    <row r="11" spans="2:9" ht="15" customHeight="1" x14ac:dyDescent="0.2">
      <c r="B11" t="s">
        <v>80</v>
      </c>
      <c r="C11" s="12">
        <v>153</v>
      </c>
      <c r="D11" s="8">
        <v>20.93</v>
      </c>
      <c r="E11" s="12">
        <v>88</v>
      </c>
      <c r="F11" s="8">
        <v>20.75</v>
      </c>
      <c r="G11" s="12">
        <v>65</v>
      </c>
      <c r="H11" s="8">
        <v>21.74</v>
      </c>
      <c r="I11" s="12">
        <v>0</v>
      </c>
    </row>
    <row r="12" spans="2:9" ht="15" customHeight="1" x14ac:dyDescent="0.2">
      <c r="B12" t="s">
        <v>81</v>
      </c>
      <c r="C12" s="12">
        <v>4</v>
      </c>
      <c r="D12" s="8">
        <v>0.55000000000000004</v>
      </c>
      <c r="E12" s="12">
        <v>1</v>
      </c>
      <c r="F12" s="8">
        <v>0.24</v>
      </c>
      <c r="G12" s="12">
        <v>3</v>
      </c>
      <c r="H12" s="8">
        <v>1</v>
      </c>
      <c r="I12" s="12">
        <v>0</v>
      </c>
    </row>
    <row r="13" spans="2:9" ht="15" customHeight="1" x14ac:dyDescent="0.2">
      <c r="B13" t="s">
        <v>82</v>
      </c>
      <c r="C13" s="12">
        <v>41</v>
      </c>
      <c r="D13" s="8">
        <v>5.61</v>
      </c>
      <c r="E13" s="12">
        <v>10</v>
      </c>
      <c r="F13" s="8">
        <v>2.36</v>
      </c>
      <c r="G13" s="12">
        <v>31</v>
      </c>
      <c r="H13" s="8">
        <v>10.37</v>
      </c>
      <c r="I13" s="12">
        <v>0</v>
      </c>
    </row>
    <row r="14" spans="2:9" ht="15" customHeight="1" x14ac:dyDescent="0.2">
      <c r="B14" t="s">
        <v>83</v>
      </c>
      <c r="C14" s="12">
        <v>28</v>
      </c>
      <c r="D14" s="8">
        <v>3.83</v>
      </c>
      <c r="E14" s="12">
        <v>15</v>
      </c>
      <c r="F14" s="8">
        <v>3.54</v>
      </c>
      <c r="G14" s="12">
        <v>13</v>
      </c>
      <c r="H14" s="8">
        <v>4.3499999999999996</v>
      </c>
      <c r="I14" s="12">
        <v>0</v>
      </c>
    </row>
    <row r="15" spans="2:9" ht="15" customHeight="1" x14ac:dyDescent="0.2">
      <c r="B15" t="s">
        <v>84</v>
      </c>
      <c r="C15" s="12">
        <v>102</v>
      </c>
      <c r="D15" s="8">
        <v>13.95</v>
      </c>
      <c r="E15" s="12">
        <v>91</v>
      </c>
      <c r="F15" s="8">
        <v>21.46</v>
      </c>
      <c r="G15" s="12">
        <v>10</v>
      </c>
      <c r="H15" s="8">
        <v>3.34</v>
      </c>
      <c r="I15" s="12">
        <v>0</v>
      </c>
    </row>
    <row r="16" spans="2:9" ht="15" customHeight="1" x14ac:dyDescent="0.2">
      <c r="B16" t="s">
        <v>85</v>
      </c>
      <c r="C16" s="12">
        <v>91</v>
      </c>
      <c r="D16" s="8">
        <v>12.45</v>
      </c>
      <c r="E16" s="12">
        <v>73</v>
      </c>
      <c r="F16" s="8">
        <v>17.22</v>
      </c>
      <c r="G16" s="12">
        <v>18</v>
      </c>
      <c r="H16" s="8">
        <v>6.02</v>
      </c>
      <c r="I16" s="12">
        <v>0</v>
      </c>
    </row>
    <row r="17" spans="2:9" ht="15" customHeight="1" x14ac:dyDescent="0.2">
      <c r="B17" t="s">
        <v>86</v>
      </c>
      <c r="C17" s="12">
        <v>24</v>
      </c>
      <c r="D17" s="8">
        <v>3.28</v>
      </c>
      <c r="E17" s="12">
        <v>19</v>
      </c>
      <c r="F17" s="8">
        <v>4.4800000000000004</v>
      </c>
      <c r="G17" s="12">
        <v>4</v>
      </c>
      <c r="H17" s="8">
        <v>1.34</v>
      </c>
      <c r="I17" s="12">
        <v>0</v>
      </c>
    </row>
    <row r="18" spans="2:9" ht="15" customHeight="1" x14ac:dyDescent="0.2">
      <c r="B18" t="s">
        <v>87</v>
      </c>
      <c r="C18" s="12">
        <v>44</v>
      </c>
      <c r="D18" s="8">
        <v>6.02</v>
      </c>
      <c r="E18" s="12">
        <v>26</v>
      </c>
      <c r="F18" s="8">
        <v>6.13</v>
      </c>
      <c r="G18" s="12">
        <v>15</v>
      </c>
      <c r="H18" s="8">
        <v>5.0199999999999996</v>
      </c>
      <c r="I18" s="12">
        <v>0</v>
      </c>
    </row>
    <row r="19" spans="2:9" ht="15" customHeight="1" x14ac:dyDescent="0.2">
      <c r="B19" t="s">
        <v>88</v>
      </c>
      <c r="C19" s="12">
        <v>40</v>
      </c>
      <c r="D19" s="8">
        <v>5.47</v>
      </c>
      <c r="E19" s="12">
        <v>22</v>
      </c>
      <c r="F19" s="8">
        <v>5.19</v>
      </c>
      <c r="G19" s="12">
        <v>15</v>
      </c>
      <c r="H19" s="8">
        <v>5.0199999999999996</v>
      </c>
      <c r="I19" s="12">
        <v>1</v>
      </c>
    </row>
    <row r="20" spans="2:9" ht="15" customHeight="1" x14ac:dyDescent="0.2">
      <c r="B20" s="9" t="s">
        <v>269</v>
      </c>
      <c r="C20" s="12">
        <f>SUM(LTBL_11408[総数／事業所数])</f>
        <v>731</v>
      </c>
      <c r="E20" s="12">
        <f>SUBTOTAL(109,LTBL_11408[個人／事業所数])</f>
        <v>424</v>
      </c>
      <c r="G20" s="12">
        <f>SUBTOTAL(109,LTBL_11408[法人／事業所数])</f>
        <v>299</v>
      </c>
      <c r="I20" s="12">
        <f>SUBTOTAL(109,LTBL_11408[法人以外の団体／事業所数])</f>
        <v>1</v>
      </c>
    </row>
    <row r="21" spans="2:9" ht="15" customHeight="1" x14ac:dyDescent="0.2">
      <c r="E21" s="11">
        <f>LTBL_11408[[#Totals],[個人／事業所数]]/LTBL_11408[[#Totals],[総数／事業所数]]</f>
        <v>0.58002735978112174</v>
      </c>
      <c r="G21" s="11">
        <f>LTBL_11408[[#Totals],[法人／事業所数]]/LTBL_11408[[#Totals],[総数／事業所数]]</f>
        <v>0.40902872777017785</v>
      </c>
      <c r="I21" s="11">
        <f>LTBL_11408[[#Totals],[法人以外の団体／事業所数]]/LTBL_11408[[#Totals],[総数／事業所数]]</f>
        <v>1.3679890560875513E-3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111</v>
      </c>
      <c r="C24" s="12">
        <v>96</v>
      </c>
      <c r="D24" s="8">
        <v>13.13</v>
      </c>
      <c r="E24" s="12">
        <v>88</v>
      </c>
      <c r="F24" s="8">
        <v>20.75</v>
      </c>
      <c r="G24" s="12">
        <v>8</v>
      </c>
      <c r="H24" s="8">
        <v>2.68</v>
      </c>
      <c r="I24" s="12">
        <v>0</v>
      </c>
    </row>
    <row r="25" spans="2:9" ht="15" customHeight="1" x14ac:dyDescent="0.2">
      <c r="B25" t="s">
        <v>112</v>
      </c>
      <c r="C25" s="12">
        <v>77</v>
      </c>
      <c r="D25" s="8">
        <v>10.53</v>
      </c>
      <c r="E25" s="12">
        <v>69</v>
      </c>
      <c r="F25" s="8">
        <v>16.27</v>
      </c>
      <c r="G25" s="12">
        <v>8</v>
      </c>
      <c r="H25" s="8">
        <v>2.68</v>
      </c>
      <c r="I25" s="12">
        <v>0</v>
      </c>
    </row>
    <row r="26" spans="2:9" ht="15" customHeight="1" x14ac:dyDescent="0.2">
      <c r="B26" t="s">
        <v>106</v>
      </c>
      <c r="C26" s="12">
        <v>52</v>
      </c>
      <c r="D26" s="8">
        <v>7.11</v>
      </c>
      <c r="E26" s="12">
        <v>33</v>
      </c>
      <c r="F26" s="8">
        <v>7.78</v>
      </c>
      <c r="G26" s="12">
        <v>19</v>
      </c>
      <c r="H26" s="8">
        <v>6.35</v>
      </c>
      <c r="I26" s="12">
        <v>0</v>
      </c>
    </row>
    <row r="27" spans="2:9" ht="15" customHeight="1" x14ac:dyDescent="0.2">
      <c r="B27" t="s">
        <v>97</v>
      </c>
      <c r="C27" s="12">
        <v>48</v>
      </c>
      <c r="D27" s="8">
        <v>6.57</v>
      </c>
      <c r="E27" s="12">
        <v>22</v>
      </c>
      <c r="F27" s="8">
        <v>5.19</v>
      </c>
      <c r="G27" s="12">
        <v>26</v>
      </c>
      <c r="H27" s="8">
        <v>8.6999999999999993</v>
      </c>
      <c r="I27" s="12">
        <v>0</v>
      </c>
    </row>
    <row r="28" spans="2:9" ht="15" customHeight="1" x14ac:dyDescent="0.2">
      <c r="B28" t="s">
        <v>98</v>
      </c>
      <c r="C28" s="12">
        <v>35</v>
      </c>
      <c r="D28" s="8">
        <v>4.79</v>
      </c>
      <c r="E28" s="12">
        <v>21</v>
      </c>
      <c r="F28" s="8">
        <v>4.95</v>
      </c>
      <c r="G28" s="12">
        <v>14</v>
      </c>
      <c r="H28" s="8">
        <v>4.68</v>
      </c>
      <c r="I28" s="12">
        <v>0</v>
      </c>
    </row>
    <row r="29" spans="2:9" ht="15" customHeight="1" x14ac:dyDescent="0.2">
      <c r="B29" t="s">
        <v>104</v>
      </c>
      <c r="C29" s="12">
        <v>35</v>
      </c>
      <c r="D29" s="8">
        <v>4.79</v>
      </c>
      <c r="E29" s="12">
        <v>27</v>
      </c>
      <c r="F29" s="8">
        <v>6.37</v>
      </c>
      <c r="G29" s="12">
        <v>8</v>
      </c>
      <c r="H29" s="8">
        <v>2.68</v>
      </c>
      <c r="I29" s="12">
        <v>0</v>
      </c>
    </row>
    <row r="30" spans="2:9" ht="15" customHeight="1" x14ac:dyDescent="0.2">
      <c r="B30" t="s">
        <v>99</v>
      </c>
      <c r="C30" s="12">
        <v>28</v>
      </c>
      <c r="D30" s="8">
        <v>3.83</v>
      </c>
      <c r="E30" s="12">
        <v>7</v>
      </c>
      <c r="F30" s="8">
        <v>1.65</v>
      </c>
      <c r="G30" s="12">
        <v>21</v>
      </c>
      <c r="H30" s="8">
        <v>7.02</v>
      </c>
      <c r="I30" s="12">
        <v>0</v>
      </c>
    </row>
    <row r="31" spans="2:9" ht="15" customHeight="1" x14ac:dyDescent="0.2">
      <c r="B31" t="s">
        <v>115</v>
      </c>
      <c r="C31" s="12">
        <v>28</v>
      </c>
      <c r="D31" s="8">
        <v>3.83</v>
      </c>
      <c r="E31" s="12">
        <v>26</v>
      </c>
      <c r="F31" s="8">
        <v>6.13</v>
      </c>
      <c r="G31" s="12">
        <v>2</v>
      </c>
      <c r="H31" s="8">
        <v>0.67</v>
      </c>
      <c r="I31" s="12">
        <v>0</v>
      </c>
    </row>
    <row r="32" spans="2:9" ht="15" customHeight="1" x14ac:dyDescent="0.2">
      <c r="B32" t="s">
        <v>105</v>
      </c>
      <c r="C32" s="12">
        <v>25</v>
      </c>
      <c r="D32" s="8">
        <v>3.42</v>
      </c>
      <c r="E32" s="12">
        <v>13</v>
      </c>
      <c r="F32" s="8">
        <v>3.07</v>
      </c>
      <c r="G32" s="12">
        <v>12</v>
      </c>
      <c r="H32" s="8">
        <v>4.01</v>
      </c>
      <c r="I32" s="12">
        <v>0</v>
      </c>
    </row>
    <row r="33" spans="2:9" ht="15" customHeight="1" x14ac:dyDescent="0.2">
      <c r="B33" t="s">
        <v>114</v>
      </c>
      <c r="C33" s="12">
        <v>24</v>
      </c>
      <c r="D33" s="8">
        <v>3.28</v>
      </c>
      <c r="E33" s="12">
        <v>19</v>
      </c>
      <c r="F33" s="8">
        <v>4.4800000000000004</v>
      </c>
      <c r="G33" s="12">
        <v>4</v>
      </c>
      <c r="H33" s="8">
        <v>1.34</v>
      </c>
      <c r="I33" s="12">
        <v>0</v>
      </c>
    </row>
    <row r="34" spans="2:9" ht="15" customHeight="1" x14ac:dyDescent="0.2">
      <c r="B34" t="s">
        <v>108</v>
      </c>
      <c r="C34" s="12">
        <v>22</v>
      </c>
      <c r="D34" s="8">
        <v>3.01</v>
      </c>
      <c r="E34" s="12">
        <v>7</v>
      </c>
      <c r="F34" s="8">
        <v>1.65</v>
      </c>
      <c r="G34" s="12">
        <v>15</v>
      </c>
      <c r="H34" s="8">
        <v>5.0199999999999996</v>
      </c>
      <c r="I34" s="12">
        <v>0</v>
      </c>
    </row>
    <row r="35" spans="2:9" ht="15" customHeight="1" x14ac:dyDescent="0.2">
      <c r="B35" t="s">
        <v>116</v>
      </c>
      <c r="C35" s="12">
        <v>20</v>
      </c>
      <c r="D35" s="8">
        <v>2.74</v>
      </c>
      <c r="E35" s="12">
        <v>18</v>
      </c>
      <c r="F35" s="8">
        <v>4.25</v>
      </c>
      <c r="G35" s="12">
        <v>2</v>
      </c>
      <c r="H35" s="8">
        <v>0.67</v>
      </c>
      <c r="I35" s="12">
        <v>0</v>
      </c>
    </row>
    <row r="36" spans="2:9" ht="15" customHeight="1" x14ac:dyDescent="0.2">
      <c r="B36" t="s">
        <v>110</v>
      </c>
      <c r="C36" s="12">
        <v>19</v>
      </c>
      <c r="D36" s="8">
        <v>2.6</v>
      </c>
      <c r="E36" s="12">
        <v>9</v>
      </c>
      <c r="F36" s="8">
        <v>2.12</v>
      </c>
      <c r="G36" s="12">
        <v>10</v>
      </c>
      <c r="H36" s="8">
        <v>3.34</v>
      </c>
      <c r="I36" s="12">
        <v>0</v>
      </c>
    </row>
    <row r="37" spans="2:9" ht="15" customHeight="1" x14ac:dyDescent="0.2">
      <c r="B37" t="s">
        <v>107</v>
      </c>
      <c r="C37" s="12">
        <v>18</v>
      </c>
      <c r="D37" s="8">
        <v>2.46</v>
      </c>
      <c r="E37" s="12">
        <v>2</v>
      </c>
      <c r="F37" s="8">
        <v>0.47</v>
      </c>
      <c r="G37" s="12">
        <v>16</v>
      </c>
      <c r="H37" s="8">
        <v>5.35</v>
      </c>
      <c r="I37" s="12">
        <v>0</v>
      </c>
    </row>
    <row r="38" spans="2:9" ht="15" customHeight="1" x14ac:dyDescent="0.2">
      <c r="B38" t="s">
        <v>118</v>
      </c>
      <c r="C38" s="12">
        <v>16</v>
      </c>
      <c r="D38" s="8">
        <v>2.19</v>
      </c>
      <c r="E38" s="12">
        <v>0</v>
      </c>
      <c r="F38" s="8">
        <v>0</v>
      </c>
      <c r="G38" s="12">
        <v>13</v>
      </c>
      <c r="H38" s="8">
        <v>4.3499999999999996</v>
      </c>
      <c r="I38" s="12">
        <v>0</v>
      </c>
    </row>
    <row r="39" spans="2:9" ht="15" customHeight="1" x14ac:dyDescent="0.2">
      <c r="B39" t="s">
        <v>103</v>
      </c>
      <c r="C39" s="12">
        <v>13</v>
      </c>
      <c r="D39" s="8">
        <v>1.78</v>
      </c>
      <c r="E39" s="12">
        <v>9</v>
      </c>
      <c r="F39" s="8">
        <v>2.12</v>
      </c>
      <c r="G39" s="12">
        <v>4</v>
      </c>
      <c r="H39" s="8">
        <v>1.34</v>
      </c>
      <c r="I39" s="12">
        <v>0</v>
      </c>
    </row>
    <row r="40" spans="2:9" ht="15" customHeight="1" x14ac:dyDescent="0.2">
      <c r="B40" t="s">
        <v>100</v>
      </c>
      <c r="C40" s="12">
        <v>11</v>
      </c>
      <c r="D40" s="8">
        <v>1.5</v>
      </c>
      <c r="E40" s="12">
        <v>4</v>
      </c>
      <c r="F40" s="8">
        <v>0.94</v>
      </c>
      <c r="G40" s="12">
        <v>7</v>
      </c>
      <c r="H40" s="8">
        <v>2.34</v>
      </c>
      <c r="I40" s="12">
        <v>0</v>
      </c>
    </row>
    <row r="41" spans="2:9" ht="15" customHeight="1" x14ac:dyDescent="0.2">
      <c r="B41" t="s">
        <v>113</v>
      </c>
      <c r="C41" s="12">
        <v>11</v>
      </c>
      <c r="D41" s="8">
        <v>1.5</v>
      </c>
      <c r="E41" s="12">
        <v>4</v>
      </c>
      <c r="F41" s="8">
        <v>0.94</v>
      </c>
      <c r="G41" s="12">
        <v>7</v>
      </c>
      <c r="H41" s="8">
        <v>2.34</v>
      </c>
      <c r="I41" s="12">
        <v>0</v>
      </c>
    </row>
    <row r="42" spans="2:9" ht="15" customHeight="1" x14ac:dyDescent="0.2">
      <c r="B42" t="s">
        <v>101</v>
      </c>
      <c r="C42" s="12">
        <v>10</v>
      </c>
      <c r="D42" s="8">
        <v>1.37</v>
      </c>
      <c r="E42" s="12">
        <v>2</v>
      </c>
      <c r="F42" s="8">
        <v>0.47</v>
      </c>
      <c r="G42" s="12">
        <v>8</v>
      </c>
      <c r="H42" s="8">
        <v>2.68</v>
      </c>
      <c r="I42" s="12">
        <v>0</v>
      </c>
    </row>
    <row r="43" spans="2:9" ht="15" customHeight="1" x14ac:dyDescent="0.2">
      <c r="B43" t="s">
        <v>119</v>
      </c>
      <c r="C43" s="12">
        <v>10</v>
      </c>
      <c r="D43" s="8">
        <v>1.37</v>
      </c>
      <c r="E43" s="12">
        <v>2</v>
      </c>
      <c r="F43" s="8">
        <v>0.47</v>
      </c>
      <c r="G43" s="12">
        <v>7</v>
      </c>
      <c r="H43" s="8">
        <v>2.34</v>
      </c>
      <c r="I43" s="12">
        <v>1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173</v>
      </c>
      <c r="C47" s="12">
        <v>39</v>
      </c>
      <c r="D47" s="8">
        <v>5.34</v>
      </c>
      <c r="E47" s="12">
        <v>35</v>
      </c>
      <c r="F47" s="8">
        <v>8.25</v>
      </c>
      <c r="G47" s="12">
        <v>4</v>
      </c>
      <c r="H47" s="8">
        <v>1.34</v>
      </c>
      <c r="I47" s="12">
        <v>0</v>
      </c>
    </row>
    <row r="48" spans="2:9" ht="15" customHeight="1" x14ac:dyDescent="0.2">
      <c r="B48" t="s">
        <v>170</v>
      </c>
      <c r="C48" s="12">
        <v>31</v>
      </c>
      <c r="D48" s="8">
        <v>4.24</v>
      </c>
      <c r="E48" s="12">
        <v>30</v>
      </c>
      <c r="F48" s="8">
        <v>7.08</v>
      </c>
      <c r="G48" s="12">
        <v>1</v>
      </c>
      <c r="H48" s="8">
        <v>0.33</v>
      </c>
      <c r="I48" s="12">
        <v>0</v>
      </c>
    </row>
    <row r="49" spans="2:9" ht="15" customHeight="1" x14ac:dyDescent="0.2">
      <c r="B49" t="s">
        <v>172</v>
      </c>
      <c r="C49" s="12">
        <v>26</v>
      </c>
      <c r="D49" s="8">
        <v>3.56</v>
      </c>
      <c r="E49" s="12">
        <v>25</v>
      </c>
      <c r="F49" s="8">
        <v>5.9</v>
      </c>
      <c r="G49" s="12">
        <v>1</v>
      </c>
      <c r="H49" s="8">
        <v>0.33</v>
      </c>
      <c r="I49" s="12">
        <v>0</v>
      </c>
    </row>
    <row r="50" spans="2:9" ht="15" customHeight="1" x14ac:dyDescent="0.2">
      <c r="B50" t="s">
        <v>169</v>
      </c>
      <c r="C50" s="12">
        <v>23</v>
      </c>
      <c r="D50" s="8">
        <v>3.15</v>
      </c>
      <c r="E50" s="12">
        <v>19</v>
      </c>
      <c r="F50" s="8">
        <v>4.4800000000000004</v>
      </c>
      <c r="G50" s="12">
        <v>4</v>
      </c>
      <c r="H50" s="8">
        <v>1.34</v>
      </c>
      <c r="I50" s="12">
        <v>0</v>
      </c>
    </row>
    <row r="51" spans="2:9" ht="15" customHeight="1" x14ac:dyDescent="0.2">
      <c r="B51" t="s">
        <v>159</v>
      </c>
      <c r="C51" s="12">
        <v>22</v>
      </c>
      <c r="D51" s="8">
        <v>3.01</v>
      </c>
      <c r="E51" s="12">
        <v>13</v>
      </c>
      <c r="F51" s="8">
        <v>3.07</v>
      </c>
      <c r="G51" s="12">
        <v>9</v>
      </c>
      <c r="H51" s="8">
        <v>3.01</v>
      </c>
      <c r="I51" s="12">
        <v>0</v>
      </c>
    </row>
    <row r="52" spans="2:9" ht="15" customHeight="1" x14ac:dyDescent="0.2">
      <c r="B52" t="s">
        <v>175</v>
      </c>
      <c r="C52" s="12">
        <v>21</v>
      </c>
      <c r="D52" s="8">
        <v>2.87</v>
      </c>
      <c r="E52" s="12">
        <v>21</v>
      </c>
      <c r="F52" s="8">
        <v>4.95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176</v>
      </c>
      <c r="C53" s="12">
        <v>20</v>
      </c>
      <c r="D53" s="8">
        <v>2.74</v>
      </c>
      <c r="E53" s="12">
        <v>18</v>
      </c>
      <c r="F53" s="8">
        <v>4.25</v>
      </c>
      <c r="G53" s="12">
        <v>2</v>
      </c>
      <c r="H53" s="8">
        <v>0.67</v>
      </c>
      <c r="I53" s="12">
        <v>0</v>
      </c>
    </row>
    <row r="54" spans="2:9" ht="15" customHeight="1" x14ac:dyDescent="0.2">
      <c r="B54" t="s">
        <v>162</v>
      </c>
      <c r="C54" s="12">
        <v>17</v>
      </c>
      <c r="D54" s="8">
        <v>2.33</v>
      </c>
      <c r="E54" s="12">
        <v>11</v>
      </c>
      <c r="F54" s="8">
        <v>2.59</v>
      </c>
      <c r="G54" s="12">
        <v>6</v>
      </c>
      <c r="H54" s="8">
        <v>2.0099999999999998</v>
      </c>
      <c r="I54" s="12">
        <v>0</v>
      </c>
    </row>
    <row r="55" spans="2:9" ht="15" customHeight="1" x14ac:dyDescent="0.2">
      <c r="B55" t="s">
        <v>163</v>
      </c>
      <c r="C55" s="12">
        <v>16</v>
      </c>
      <c r="D55" s="8">
        <v>2.19</v>
      </c>
      <c r="E55" s="12">
        <v>7</v>
      </c>
      <c r="F55" s="8">
        <v>1.65</v>
      </c>
      <c r="G55" s="12">
        <v>9</v>
      </c>
      <c r="H55" s="8">
        <v>3.01</v>
      </c>
      <c r="I55" s="12">
        <v>0</v>
      </c>
    </row>
    <row r="56" spans="2:9" ht="15" customHeight="1" x14ac:dyDescent="0.2">
      <c r="B56" t="s">
        <v>164</v>
      </c>
      <c r="C56" s="12">
        <v>15</v>
      </c>
      <c r="D56" s="8">
        <v>2.0499999999999998</v>
      </c>
      <c r="E56" s="12">
        <v>12</v>
      </c>
      <c r="F56" s="8">
        <v>2.83</v>
      </c>
      <c r="G56" s="12">
        <v>3</v>
      </c>
      <c r="H56" s="8">
        <v>1</v>
      </c>
      <c r="I56" s="12">
        <v>0</v>
      </c>
    </row>
    <row r="57" spans="2:9" ht="15" customHeight="1" x14ac:dyDescent="0.2">
      <c r="B57" t="s">
        <v>174</v>
      </c>
      <c r="C57" s="12">
        <v>15</v>
      </c>
      <c r="D57" s="8">
        <v>2.0499999999999998</v>
      </c>
      <c r="E57" s="12">
        <v>13</v>
      </c>
      <c r="F57" s="8">
        <v>3.07</v>
      </c>
      <c r="G57" s="12">
        <v>2</v>
      </c>
      <c r="H57" s="8">
        <v>0.67</v>
      </c>
      <c r="I57" s="12">
        <v>0</v>
      </c>
    </row>
    <row r="58" spans="2:9" ht="15" customHeight="1" x14ac:dyDescent="0.2">
      <c r="B58" t="s">
        <v>167</v>
      </c>
      <c r="C58" s="12">
        <v>14</v>
      </c>
      <c r="D58" s="8">
        <v>1.92</v>
      </c>
      <c r="E58" s="12">
        <v>5</v>
      </c>
      <c r="F58" s="8">
        <v>1.18</v>
      </c>
      <c r="G58" s="12">
        <v>9</v>
      </c>
      <c r="H58" s="8">
        <v>3.01</v>
      </c>
      <c r="I58" s="12">
        <v>0</v>
      </c>
    </row>
    <row r="59" spans="2:9" ht="15" customHeight="1" x14ac:dyDescent="0.2">
      <c r="B59" t="s">
        <v>178</v>
      </c>
      <c r="C59" s="12">
        <v>14</v>
      </c>
      <c r="D59" s="8">
        <v>1.92</v>
      </c>
      <c r="E59" s="12">
        <v>7</v>
      </c>
      <c r="F59" s="8">
        <v>1.65</v>
      </c>
      <c r="G59" s="12">
        <v>7</v>
      </c>
      <c r="H59" s="8">
        <v>2.34</v>
      </c>
      <c r="I59" s="12">
        <v>0</v>
      </c>
    </row>
    <row r="60" spans="2:9" ht="15" customHeight="1" x14ac:dyDescent="0.2">
      <c r="B60" t="s">
        <v>157</v>
      </c>
      <c r="C60" s="12">
        <v>13</v>
      </c>
      <c r="D60" s="8">
        <v>1.78</v>
      </c>
      <c r="E60" s="12">
        <v>4</v>
      </c>
      <c r="F60" s="8">
        <v>0.94</v>
      </c>
      <c r="G60" s="12">
        <v>9</v>
      </c>
      <c r="H60" s="8">
        <v>3.01</v>
      </c>
      <c r="I60" s="12">
        <v>0</v>
      </c>
    </row>
    <row r="61" spans="2:9" ht="15" customHeight="1" x14ac:dyDescent="0.2">
      <c r="B61" t="s">
        <v>160</v>
      </c>
      <c r="C61" s="12">
        <v>12</v>
      </c>
      <c r="D61" s="8">
        <v>1.64</v>
      </c>
      <c r="E61" s="12">
        <v>3</v>
      </c>
      <c r="F61" s="8">
        <v>0.71</v>
      </c>
      <c r="G61" s="12">
        <v>9</v>
      </c>
      <c r="H61" s="8">
        <v>3.01</v>
      </c>
      <c r="I61" s="12">
        <v>0</v>
      </c>
    </row>
    <row r="62" spans="2:9" ht="15" customHeight="1" x14ac:dyDescent="0.2">
      <c r="B62" t="s">
        <v>161</v>
      </c>
      <c r="C62" s="12">
        <v>11</v>
      </c>
      <c r="D62" s="8">
        <v>1.5</v>
      </c>
      <c r="E62" s="12">
        <v>3</v>
      </c>
      <c r="F62" s="8">
        <v>0.71</v>
      </c>
      <c r="G62" s="12">
        <v>8</v>
      </c>
      <c r="H62" s="8">
        <v>2.68</v>
      </c>
      <c r="I62" s="12">
        <v>0</v>
      </c>
    </row>
    <row r="63" spans="2:9" ht="15" customHeight="1" x14ac:dyDescent="0.2">
      <c r="B63" t="s">
        <v>218</v>
      </c>
      <c r="C63" s="12">
        <v>11</v>
      </c>
      <c r="D63" s="8">
        <v>1.5</v>
      </c>
      <c r="E63" s="12">
        <v>0</v>
      </c>
      <c r="F63" s="8">
        <v>0</v>
      </c>
      <c r="G63" s="12">
        <v>11</v>
      </c>
      <c r="H63" s="8">
        <v>3.68</v>
      </c>
      <c r="I63" s="12">
        <v>0</v>
      </c>
    </row>
    <row r="64" spans="2:9" ht="15" customHeight="1" x14ac:dyDescent="0.2">
      <c r="B64" t="s">
        <v>205</v>
      </c>
      <c r="C64" s="12">
        <v>10</v>
      </c>
      <c r="D64" s="8">
        <v>1.37</v>
      </c>
      <c r="E64" s="12">
        <v>8</v>
      </c>
      <c r="F64" s="8">
        <v>1.89</v>
      </c>
      <c r="G64" s="12">
        <v>2</v>
      </c>
      <c r="H64" s="8">
        <v>0.67</v>
      </c>
      <c r="I64" s="12">
        <v>0</v>
      </c>
    </row>
    <row r="65" spans="2:9" ht="15" customHeight="1" x14ac:dyDescent="0.2">
      <c r="B65" t="s">
        <v>185</v>
      </c>
      <c r="C65" s="12">
        <v>9</v>
      </c>
      <c r="D65" s="8">
        <v>1.23</v>
      </c>
      <c r="E65" s="12">
        <v>5</v>
      </c>
      <c r="F65" s="8">
        <v>1.18</v>
      </c>
      <c r="G65" s="12">
        <v>4</v>
      </c>
      <c r="H65" s="8">
        <v>1.34</v>
      </c>
      <c r="I65" s="12">
        <v>0</v>
      </c>
    </row>
    <row r="66" spans="2:9" ht="15" customHeight="1" x14ac:dyDescent="0.2">
      <c r="B66" t="s">
        <v>191</v>
      </c>
      <c r="C66" s="12">
        <v>9</v>
      </c>
      <c r="D66" s="8">
        <v>1.23</v>
      </c>
      <c r="E66" s="12">
        <v>9</v>
      </c>
      <c r="F66" s="8">
        <v>2.12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171</v>
      </c>
      <c r="C67" s="12">
        <v>9</v>
      </c>
      <c r="D67" s="8">
        <v>1.23</v>
      </c>
      <c r="E67" s="12">
        <v>6</v>
      </c>
      <c r="F67" s="8">
        <v>1.42</v>
      </c>
      <c r="G67" s="12">
        <v>3</v>
      </c>
      <c r="H67" s="8">
        <v>1</v>
      </c>
      <c r="I67" s="12">
        <v>0</v>
      </c>
    </row>
    <row r="69" spans="2:9" ht="15" customHeight="1" x14ac:dyDescent="0.2">
      <c r="B69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CDF5F-93D0-475B-8E83-3521A69B995A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343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100</v>
      </c>
      <c r="D6" s="8">
        <v>15.15</v>
      </c>
      <c r="E6" s="12">
        <v>29</v>
      </c>
      <c r="F6" s="8">
        <v>6.9</v>
      </c>
      <c r="G6" s="12">
        <v>71</v>
      </c>
      <c r="H6" s="8">
        <v>29.58</v>
      </c>
      <c r="I6" s="12">
        <v>0</v>
      </c>
    </row>
    <row r="7" spans="2:9" ht="15" customHeight="1" x14ac:dyDescent="0.2">
      <c r="B7" t="s">
        <v>76</v>
      </c>
      <c r="C7" s="12">
        <v>49</v>
      </c>
      <c r="D7" s="8">
        <v>7.42</v>
      </c>
      <c r="E7" s="12">
        <v>23</v>
      </c>
      <c r="F7" s="8">
        <v>5.48</v>
      </c>
      <c r="G7" s="12">
        <v>26</v>
      </c>
      <c r="H7" s="8">
        <v>10.83</v>
      </c>
      <c r="I7" s="12">
        <v>0</v>
      </c>
    </row>
    <row r="8" spans="2:9" ht="15" customHeight="1" x14ac:dyDescent="0.2">
      <c r="B8" t="s">
        <v>77</v>
      </c>
      <c r="C8" s="12">
        <v>1</v>
      </c>
      <c r="D8" s="8">
        <v>0.15</v>
      </c>
      <c r="E8" s="12">
        <v>0</v>
      </c>
      <c r="F8" s="8">
        <v>0</v>
      </c>
      <c r="G8" s="12">
        <v>1</v>
      </c>
      <c r="H8" s="8">
        <v>0.42</v>
      </c>
      <c r="I8" s="12">
        <v>0</v>
      </c>
    </row>
    <row r="9" spans="2:9" ht="15" customHeight="1" x14ac:dyDescent="0.2">
      <c r="B9" t="s">
        <v>78</v>
      </c>
      <c r="C9" s="12">
        <v>5</v>
      </c>
      <c r="D9" s="8">
        <v>0.76</v>
      </c>
      <c r="E9" s="12">
        <v>0</v>
      </c>
      <c r="F9" s="8">
        <v>0</v>
      </c>
      <c r="G9" s="12">
        <v>5</v>
      </c>
      <c r="H9" s="8">
        <v>2.08</v>
      </c>
      <c r="I9" s="12">
        <v>0</v>
      </c>
    </row>
    <row r="10" spans="2:9" ht="15" customHeight="1" x14ac:dyDescent="0.2">
      <c r="B10" t="s">
        <v>79</v>
      </c>
      <c r="C10" s="12">
        <v>5</v>
      </c>
      <c r="D10" s="8">
        <v>0.76</v>
      </c>
      <c r="E10" s="12">
        <v>2</v>
      </c>
      <c r="F10" s="8">
        <v>0.48</v>
      </c>
      <c r="G10" s="12">
        <v>3</v>
      </c>
      <c r="H10" s="8">
        <v>1.25</v>
      </c>
      <c r="I10" s="12">
        <v>0</v>
      </c>
    </row>
    <row r="11" spans="2:9" ht="15" customHeight="1" x14ac:dyDescent="0.2">
      <c r="B11" t="s">
        <v>80</v>
      </c>
      <c r="C11" s="12">
        <v>119</v>
      </c>
      <c r="D11" s="8">
        <v>18.03</v>
      </c>
      <c r="E11" s="12">
        <v>75</v>
      </c>
      <c r="F11" s="8">
        <v>17.86</v>
      </c>
      <c r="G11" s="12">
        <v>44</v>
      </c>
      <c r="H11" s="8">
        <v>18.329999999999998</v>
      </c>
      <c r="I11" s="12">
        <v>0</v>
      </c>
    </row>
    <row r="12" spans="2:9" ht="15" customHeight="1" x14ac:dyDescent="0.2">
      <c r="B12" t="s">
        <v>81</v>
      </c>
      <c r="C12" s="12">
        <v>1</v>
      </c>
      <c r="D12" s="8">
        <v>0.15</v>
      </c>
      <c r="E12" s="12">
        <v>0</v>
      </c>
      <c r="F12" s="8">
        <v>0</v>
      </c>
      <c r="G12" s="12">
        <v>1</v>
      </c>
      <c r="H12" s="8">
        <v>0.42</v>
      </c>
      <c r="I12" s="12">
        <v>0</v>
      </c>
    </row>
    <row r="13" spans="2:9" ht="15" customHeight="1" x14ac:dyDescent="0.2">
      <c r="B13" t="s">
        <v>82</v>
      </c>
      <c r="C13" s="12">
        <v>100</v>
      </c>
      <c r="D13" s="8">
        <v>15.15</v>
      </c>
      <c r="E13" s="12">
        <v>66</v>
      </c>
      <c r="F13" s="8">
        <v>15.71</v>
      </c>
      <c r="G13" s="12">
        <v>34</v>
      </c>
      <c r="H13" s="8">
        <v>14.17</v>
      </c>
      <c r="I13" s="12">
        <v>0</v>
      </c>
    </row>
    <row r="14" spans="2:9" ht="15" customHeight="1" x14ac:dyDescent="0.2">
      <c r="B14" t="s">
        <v>83</v>
      </c>
      <c r="C14" s="12">
        <v>33</v>
      </c>
      <c r="D14" s="8">
        <v>5</v>
      </c>
      <c r="E14" s="12">
        <v>22</v>
      </c>
      <c r="F14" s="8">
        <v>5.24</v>
      </c>
      <c r="G14" s="12">
        <v>11</v>
      </c>
      <c r="H14" s="8">
        <v>4.58</v>
      </c>
      <c r="I14" s="12">
        <v>0</v>
      </c>
    </row>
    <row r="15" spans="2:9" ht="15" customHeight="1" x14ac:dyDescent="0.2">
      <c r="B15" t="s">
        <v>84</v>
      </c>
      <c r="C15" s="12">
        <v>72</v>
      </c>
      <c r="D15" s="8">
        <v>10.91</v>
      </c>
      <c r="E15" s="12">
        <v>61</v>
      </c>
      <c r="F15" s="8">
        <v>14.52</v>
      </c>
      <c r="G15" s="12">
        <v>11</v>
      </c>
      <c r="H15" s="8">
        <v>4.58</v>
      </c>
      <c r="I15" s="12">
        <v>0</v>
      </c>
    </row>
    <row r="16" spans="2:9" ht="15" customHeight="1" x14ac:dyDescent="0.2">
      <c r="B16" t="s">
        <v>85</v>
      </c>
      <c r="C16" s="12">
        <v>104</v>
      </c>
      <c r="D16" s="8">
        <v>15.76</v>
      </c>
      <c r="E16" s="12">
        <v>89</v>
      </c>
      <c r="F16" s="8">
        <v>21.19</v>
      </c>
      <c r="G16" s="12">
        <v>15</v>
      </c>
      <c r="H16" s="8">
        <v>6.25</v>
      </c>
      <c r="I16" s="12">
        <v>0</v>
      </c>
    </row>
    <row r="17" spans="2:9" ht="15" customHeight="1" x14ac:dyDescent="0.2">
      <c r="B17" t="s">
        <v>86</v>
      </c>
      <c r="C17" s="12">
        <v>24</v>
      </c>
      <c r="D17" s="8">
        <v>3.64</v>
      </c>
      <c r="E17" s="12">
        <v>21</v>
      </c>
      <c r="F17" s="8">
        <v>5</v>
      </c>
      <c r="G17" s="12">
        <v>3</v>
      </c>
      <c r="H17" s="8">
        <v>1.25</v>
      </c>
      <c r="I17" s="12">
        <v>0</v>
      </c>
    </row>
    <row r="18" spans="2:9" ht="15" customHeight="1" x14ac:dyDescent="0.2">
      <c r="B18" t="s">
        <v>87</v>
      </c>
      <c r="C18" s="12">
        <v>28</v>
      </c>
      <c r="D18" s="8">
        <v>4.24</v>
      </c>
      <c r="E18" s="12">
        <v>20</v>
      </c>
      <c r="F18" s="8">
        <v>4.76</v>
      </c>
      <c r="G18" s="12">
        <v>8</v>
      </c>
      <c r="H18" s="8">
        <v>3.33</v>
      </c>
      <c r="I18" s="12">
        <v>0</v>
      </c>
    </row>
    <row r="19" spans="2:9" ht="15" customHeight="1" x14ac:dyDescent="0.2">
      <c r="B19" t="s">
        <v>88</v>
      </c>
      <c r="C19" s="12">
        <v>19</v>
      </c>
      <c r="D19" s="8">
        <v>2.88</v>
      </c>
      <c r="E19" s="12">
        <v>12</v>
      </c>
      <c r="F19" s="8">
        <v>2.86</v>
      </c>
      <c r="G19" s="12">
        <v>7</v>
      </c>
      <c r="H19" s="8">
        <v>2.92</v>
      </c>
      <c r="I19" s="12">
        <v>0</v>
      </c>
    </row>
    <row r="20" spans="2:9" ht="15" customHeight="1" x14ac:dyDescent="0.2">
      <c r="B20" s="9" t="s">
        <v>269</v>
      </c>
      <c r="C20" s="12">
        <f>SUM(LTBL_11442[総数／事業所数])</f>
        <v>660</v>
      </c>
      <c r="E20" s="12">
        <f>SUBTOTAL(109,LTBL_11442[個人／事業所数])</f>
        <v>420</v>
      </c>
      <c r="G20" s="12">
        <f>SUBTOTAL(109,LTBL_11442[法人／事業所数])</f>
        <v>240</v>
      </c>
      <c r="I20" s="12">
        <f>SUBTOTAL(109,LTBL_11442[法人以外の団体／事業所数])</f>
        <v>0</v>
      </c>
    </row>
    <row r="21" spans="2:9" ht="15" customHeight="1" x14ac:dyDescent="0.2">
      <c r="E21" s="11">
        <f>LTBL_11442[[#Totals],[個人／事業所数]]/LTBL_11442[[#Totals],[総数／事業所数]]</f>
        <v>0.63636363636363635</v>
      </c>
      <c r="G21" s="11">
        <f>LTBL_11442[[#Totals],[法人／事業所数]]/LTBL_11442[[#Totals],[総数／事業所数]]</f>
        <v>0.36363636363636365</v>
      </c>
      <c r="I21" s="11">
        <f>LTBL_11442[[#Totals],[法人以外の団体／事業所数]]/LTBL_11442[[#Totals],[総数／事業所数]]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108</v>
      </c>
      <c r="C24" s="12">
        <v>92</v>
      </c>
      <c r="D24" s="8">
        <v>13.94</v>
      </c>
      <c r="E24" s="12">
        <v>65</v>
      </c>
      <c r="F24" s="8">
        <v>15.48</v>
      </c>
      <c r="G24" s="12">
        <v>27</v>
      </c>
      <c r="H24" s="8">
        <v>11.25</v>
      </c>
      <c r="I24" s="12">
        <v>0</v>
      </c>
    </row>
    <row r="25" spans="2:9" ht="15" customHeight="1" x14ac:dyDescent="0.2">
      <c r="B25" t="s">
        <v>112</v>
      </c>
      <c r="C25" s="12">
        <v>79</v>
      </c>
      <c r="D25" s="8">
        <v>11.97</v>
      </c>
      <c r="E25" s="12">
        <v>70</v>
      </c>
      <c r="F25" s="8">
        <v>16.670000000000002</v>
      </c>
      <c r="G25" s="12">
        <v>9</v>
      </c>
      <c r="H25" s="8">
        <v>3.75</v>
      </c>
      <c r="I25" s="12">
        <v>0</v>
      </c>
    </row>
    <row r="26" spans="2:9" ht="15" customHeight="1" x14ac:dyDescent="0.2">
      <c r="B26" t="s">
        <v>111</v>
      </c>
      <c r="C26" s="12">
        <v>65</v>
      </c>
      <c r="D26" s="8">
        <v>9.85</v>
      </c>
      <c r="E26" s="12">
        <v>59</v>
      </c>
      <c r="F26" s="8">
        <v>14.05</v>
      </c>
      <c r="G26" s="12">
        <v>6</v>
      </c>
      <c r="H26" s="8">
        <v>2.5</v>
      </c>
      <c r="I26" s="12">
        <v>0</v>
      </c>
    </row>
    <row r="27" spans="2:9" ht="15" customHeight="1" x14ac:dyDescent="0.2">
      <c r="B27" t="s">
        <v>99</v>
      </c>
      <c r="C27" s="12">
        <v>36</v>
      </c>
      <c r="D27" s="8">
        <v>5.45</v>
      </c>
      <c r="E27" s="12">
        <v>4</v>
      </c>
      <c r="F27" s="8">
        <v>0.95</v>
      </c>
      <c r="G27" s="12">
        <v>32</v>
      </c>
      <c r="H27" s="8">
        <v>13.33</v>
      </c>
      <c r="I27" s="12">
        <v>0</v>
      </c>
    </row>
    <row r="28" spans="2:9" ht="15" customHeight="1" x14ac:dyDescent="0.2">
      <c r="B28" t="s">
        <v>106</v>
      </c>
      <c r="C28" s="12">
        <v>36</v>
      </c>
      <c r="D28" s="8">
        <v>5.45</v>
      </c>
      <c r="E28" s="12">
        <v>25</v>
      </c>
      <c r="F28" s="8">
        <v>5.95</v>
      </c>
      <c r="G28" s="12">
        <v>11</v>
      </c>
      <c r="H28" s="8">
        <v>4.58</v>
      </c>
      <c r="I28" s="12">
        <v>0</v>
      </c>
    </row>
    <row r="29" spans="2:9" ht="15" customHeight="1" x14ac:dyDescent="0.2">
      <c r="B29" t="s">
        <v>97</v>
      </c>
      <c r="C29" s="12">
        <v>35</v>
      </c>
      <c r="D29" s="8">
        <v>5.3</v>
      </c>
      <c r="E29" s="12">
        <v>13</v>
      </c>
      <c r="F29" s="8">
        <v>3.1</v>
      </c>
      <c r="G29" s="12">
        <v>22</v>
      </c>
      <c r="H29" s="8">
        <v>9.17</v>
      </c>
      <c r="I29" s="12">
        <v>0</v>
      </c>
    </row>
    <row r="30" spans="2:9" ht="15" customHeight="1" x14ac:dyDescent="0.2">
      <c r="B30" t="s">
        <v>104</v>
      </c>
      <c r="C30" s="12">
        <v>30</v>
      </c>
      <c r="D30" s="8">
        <v>4.55</v>
      </c>
      <c r="E30" s="12">
        <v>21</v>
      </c>
      <c r="F30" s="8">
        <v>5</v>
      </c>
      <c r="G30" s="12">
        <v>9</v>
      </c>
      <c r="H30" s="8">
        <v>3.75</v>
      </c>
      <c r="I30" s="12">
        <v>0</v>
      </c>
    </row>
    <row r="31" spans="2:9" ht="15" customHeight="1" x14ac:dyDescent="0.2">
      <c r="B31" t="s">
        <v>98</v>
      </c>
      <c r="C31" s="12">
        <v>29</v>
      </c>
      <c r="D31" s="8">
        <v>4.3899999999999997</v>
      </c>
      <c r="E31" s="12">
        <v>12</v>
      </c>
      <c r="F31" s="8">
        <v>2.86</v>
      </c>
      <c r="G31" s="12">
        <v>17</v>
      </c>
      <c r="H31" s="8">
        <v>7.08</v>
      </c>
      <c r="I31" s="12">
        <v>0</v>
      </c>
    </row>
    <row r="32" spans="2:9" ht="15" customHeight="1" x14ac:dyDescent="0.2">
      <c r="B32" t="s">
        <v>114</v>
      </c>
      <c r="C32" s="12">
        <v>24</v>
      </c>
      <c r="D32" s="8">
        <v>3.64</v>
      </c>
      <c r="E32" s="12">
        <v>21</v>
      </c>
      <c r="F32" s="8">
        <v>5</v>
      </c>
      <c r="G32" s="12">
        <v>3</v>
      </c>
      <c r="H32" s="8">
        <v>1.25</v>
      </c>
      <c r="I32" s="12">
        <v>0</v>
      </c>
    </row>
    <row r="33" spans="2:9" ht="15" customHeight="1" x14ac:dyDescent="0.2">
      <c r="B33" t="s">
        <v>115</v>
      </c>
      <c r="C33" s="12">
        <v>22</v>
      </c>
      <c r="D33" s="8">
        <v>3.33</v>
      </c>
      <c r="E33" s="12">
        <v>20</v>
      </c>
      <c r="F33" s="8">
        <v>4.76</v>
      </c>
      <c r="G33" s="12">
        <v>2</v>
      </c>
      <c r="H33" s="8">
        <v>0.83</v>
      </c>
      <c r="I33" s="12">
        <v>0</v>
      </c>
    </row>
    <row r="34" spans="2:9" ht="15" customHeight="1" x14ac:dyDescent="0.2">
      <c r="B34" t="s">
        <v>109</v>
      </c>
      <c r="C34" s="12">
        <v>21</v>
      </c>
      <c r="D34" s="8">
        <v>3.18</v>
      </c>
      <c r="E34" s="12">
        <v>14</v>
      </c>
      <c r="F34" s="8">
        <v>3.33</v>
      </c>
      <c r="G34" s="12">
        <v>7</v>
      </c>
      <c r="H34" s="8">
        <v>2.92</v>
      </c>
      <c r="I34" s="12">
        <v>0</v>
      </c>
    </row>
    <row r="35" spans="2:9" ht="15" customHeight="1" x14ac:dyDescent="0.2">
      <c r="B35" t="s">
        <v>105</v>
      </c>
      <c r="C35" s="12">
        <v>20</v>
      </c>
      <c r="D35" s="8">
        <v>3.03</v>
      </c>
      <c r="E35" s="12">
        <v>15</v>
      </c>
      <c r="F35" s="8">
        <v>3.57</v>
      </c>
      <c r="G35" s="12">
        <v>5</v>
      </c>
      <c r="H35" s="8">
        <v>2.08</v>
      </c>
      <c r="I35" s="12">
        <v>0</v>
      </c>
    </row>
    <row r="36" spans="2:9" ht="15" customHeight="1" x14ac:dyDescent="0.2">
      <c r="B36" t="s">
        <v>113</v>
      </c>
      <c r="C36" s="12">
        <v>20</v>
      </c>
      <c r="D36" s="8">
        <v>3.03</v>
      </c>
      <c r="E36" s="12">
        <v>18</v>
      </c>
      <c r="F36" s="8">
        <v>4.29</v>
      </c>
      <c r="G36" s="12">
        <v>2</v>
      </c>
      <c r="H36" s="8">
        <v>0.83</v>
      </c>
      <c r="I36" s="12">
        <v>0</v>
      </c>
    </row>
    <row r="37" spans="2:9" ht="15" customHeight="1" x14ac:dyDescent="0.2">
      <c r="B37" t="s">
        <v>110</v>
      </c>
      <c r="C37" s="12">
        <v>12</v>
      </c>
      <c r="D37" s="8">
        <v>1.82</v>
      </c>
      <c r="E37" s="12">
        <v>8</v>
      </c>
      <c r="F37" s="8">
        <v>1.9</v>
      </c>
      <c r="G37" s="12">
        <v>4</v>
      </c>
      <c r="H37" s="8">
        <v>1.67</v>
      </c>
      <c r="I37" s="12">
        <v>0</v>
      </c>
    </row>
    <row r="38" spans="2:9" ht="15" customHeight="1" x14ac:dyDescent="0.2">
      <c r="B38" t="s">
        <v>101</v>
      </c>
      <c r="C38" s="12">
        <v>8</v>
      </c>
      <c r="D38" s="8">
        <v>1.21</v>
      </c>
      <c r="E38" s="12">
        <v>2</v>
      </c>
      <c r="F38" s="8">
        <v>0.48</v>
      </c>
      <c r="G38" s="12">
        <v>6</v>
      </c>
      <c r="H38" s="8">
        <v>2.5</v>
      </c>
      <c r="I38" s="12">
        <v>0</v>
      </c>
    </row>
    <row r="39" spans="2:9" ht="15" customHeight="1" x14ac:dyDescent="0.2">
      <c r="B39" t="s">
        <v>122</v>
      </c>
      <c r="C39" s="12">
        <v>8</v>
      </c>
      <c r="D39" s="8">
        <v>1.21</v>
      </c>
      <c r="E39" s="12">
        <v>3</v>
      </c>
      <c r="F39" s="8">
        <v>0.71</v>
      </c>
      <c r="G39" s="12">
        <v>5</v>
      </c>
      <c r="H39" s="8">
        <v>2.08</v>
      </c>
      <c r="I39" s="12">
        <v>0</v>
      </c>
    </row>
    <row r="40" spans="2:9" ht="15" customHeight="1" x14ac:dyDescent="0.2">
      <c r="B40" t="s">
        <v>107</v>
      </c>
      <c r="C40" s="12">
        <v>8</v>
      </c>
      <c r="D40" s="8">
        <v>1.21</v>
      </c>
      <c r="E40" s="12">
        <v>1</v>
      </c>
      <c r="F40" s="8">
        <v>0.24</v>
      </c>
      <c r="G40" s="12">
        <v>7</v>
      </c>
      <c r="H40" s="8">
        <v>2.92</v>
      </c>
      <c r="I40" s="12">
        <v>0</v>
      </c>
    </row>
    <row r="41" spans="2:9" ht="15" customHeight="1" x14ac:dyDescent="0.2">
      <c r="B41" t="s">
        <v>116</v>
      </c>
      <c r="C41" s="12">
        <v>8</v>
      </c>
      <c r="D41" s="8">
        <v>1.21</v>
      </c>
      <c r="E41" s="12">
        <v>7</v>
      </c>
      <c r="F41" s="8">
        <v>1.67</v>
      </c>
      <c r="G41" s="12">
        <v>1</v>
      </c>
      <c r="H41" s="8">
        <v>0.42</v>
      </c>
      <c r="I41" s="12">
        <v>0</v>
      </c>
    </row>
    <row r="42" spans="2:9" ht="15" customHeight="1" x14ac:dyDescent="0.2">
      <c r="B42" t="s">
        <v>130</v>
      </c>
      <c r="C42" s="12">
        <v>7</v>
      </c>
      <c r="D42" s="8">
        <v>1.06</v>
      </c>
      <c r="E42" s="12">
        <v>4</v>
      </c>
      <c r="F42" s="8">
        <v>0.95</v>
      </c>
      <c r="G42" s="12">
        <v>3</v>
      </c>
      <c r="H42" s="8">
        <v>1.25</v>
      </c>
      <c r="I42" s="12">
        <v>0</v>
      </c>
    </row>
    <row r="43" spans="2:9" ht="15" customHeight="1" x14ac:dyDescent="0.2">
      <c r="B43" t="s">
        <v>126</v>
      </c>
      <c r="C43" s="12">
        <v>7</v>
      </c>
      <c r="D43" s="8">
        <v>1.06</v>
      </c>
      <c r="E43" s="12">
        <v>2</v>
      </c>
      <c r="F43" s="8">
        <v>0.48</v>
      </c>
      <c r="G43" s="12">
        <v>5</v>
      </c>
      <c r="H43" s="8">
        <v>2.08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167</v>
      </c>
      <c r="C47" s="12">
        <v>72</v>
      </c>
      <c r="D47" s="8">
        <v>10.91</v>
      </c>
      <c r="E47" s="12">
        <v>55</v>
      </c>
      <c r="F47" s="8">
        <v>13.1</v>
      </c>
      <c r="G47" s="12">
        <v>17</v>
      </c>
      <c r="H47" s="8">
        <v>7.08</v>
      </c>
      <c r="I47" s="12">
        <v>0</v>
      </c>
    </row>
    <row r="48" spans="2:9" ht="15" customHeight="1" x14ac:dyDescent="0.2">
      <c r="B48" t="s">
        <v>173</v>
      </c>
      <c r="C48" s="12">
        <v>42</v>
      </c>
      <c r="D48" s="8">
        <v>6.36</v>
      </c>
      <c r="E48" s="12">
        <v>38</v>
      </c>
      <c r="F48" s="8">
        <v>9.0500000000000007</v>
      </c>
      <c r="G48" s="12">
        <v>4</v>
      </c>
      <c r="H48" s="8">
        <v>1.67</v>
      </c>
      <c r="I48" s="12">
        <v>0</v>
      </c>
    </row>
    <row r="49" spans="2:9" ht="15" customHeight="1" x14ac:dyDescent="0.2">
      <c r="B49" t="s">
        <v>172</v>
      </c>
      <c r="C49" s="12">
        <v>23</v>
      </c>
      <c r="D49" s="8">
        <v>3.48</v>
      </c>
      <c r="E49" s="12">
        <v>21</v>
      </c>
      <c r="F49" s="8">
        <v>5</v>
      </c>
      <c r="G49" s="12">
        <v>2</v>
      </c>
      <c r="H49" s="8">
        <v>0.83</v>
      </c>
      <c r="I49" s="12">
        <v>0</v>
      </c>
    </row>
    <row r="50" spans="2:9" ht="15" customHeight="1" x14ac:dyDescent="0.2">
      <c r="B50" t="s">
        <v>170</v>
      </c>
      <c r="C50" s="12">
        <v>22</v>
      </c>
      <c r="D50" s="8">
        <v>3.33</v>
      </c>
      <c r="E50" s="12">
        <v>20</v>
      </c>
      <c r="F50" s="8">
        <v>4.76</v>
      </c>
      <c r="G50" s="12">
        <v>2</v>
      </c>
      <c r="H50" s="8">
        <v>0.83</v>
      </c>
      <c r="I50" s="12">
        <v>0</v>
      </c>
    </row>
    <row r="51" spans="2:9" ht="15" customHeight="1" x14ac:dyDescent="0.2">
      <c r="B51" t="s">
        <v>169</v>
      </c>
      <c r="C51" s="12">
        <v>21</v>
      </c>
      <c r="D51" s="8">
        <v>3.18</v>
      </c>
      <c r="E51" s="12">
        <v>18</v>
      </c>
      <c r="F51" s="8">
        <v>4.29</v>
      </c>
      <c r="G51" s="12">
        <v>3</v>
      </c>
      <c r="H51" s="8">
        <v>1.25</v>
      </c>
      <c r="I51" s="12">
        <v>0</v>
      </c>
    </row>
    <row r="52" spans="2:9" ht="15" customHeight="1" x14ac:dyDescent="0.2">
      <c r="B52" t="s">
        <v>174</v>
      </c>
      <c r="C52" s="12">
        <v>17</v>
      </c>
      <c r="D52" s="8">
        <v>2.58</v>
      </c>
      <c r="E52" s="12">
        <v>17</v>
      </c>
      <c r="F52" s="8">
        <v>4.05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175</v>
      </c>
      <c r="C53" s="12">
        <v>17</v>
      </c>
      <c r="D53" s="8">
        <v>2.58</v>
      </c>
      <c r="E53" s="12">
        <v>16</v>
      </c>
      <c r="F53" s="8">
        <v>3.81</v>
      </c>
      <c r="G53" s="12">
        <v>1</v>
      </c>
      <c r="H53" s="8">
        <v>0.42</v>
      </c>
      <c r="I53" s="12">
        <v>0</v>
      </c>
    </row>
    <row r="54" spans="2:9" ht="15" customHeight="1" x14ac:dyDescent="0.2">
      <c r="B54" t="s">
        <v>160</v>
      </c>
      <c r="C54" s="12">
        <v>14</v>
      </c>
      <c r="D54" s="8">
        <v>2.12</v>
      </c>
      <c r="E54" s="12">
        <v>3</v>
      </c>
      <c r="F54" s="8">
        <v>0.71</v>
      </c>
      <c r="G54" s="12">
        <v>11</v>
      </c>
      <c r="H54" s="8">
        <v>4.58</v>
      </c>
      <c r="I54" s="12">
        <v>0</v>
      </c>
    </row>
    <row r="55" spans="2:9" ht="15" customHeight="1" x14ac:dyDescent="0.2">
      <c r="B55" t="s">
        <v>161</v>
      </c>
      <c r="C55" s="12">
        <v>14</v>
      </c>
      <c r="D55" s="8">
        <v>2.12</v>
      </c>
      <c r="E55" s="12">
        <v>1</v>
      </c>
      <c r="F55" s="8">
        <v>0.24</v>
      </c>
      <c r="G55" s="12">
        <v>13</v>
      </c>
      <c r="H55" s="8">
        <v>5.42</v>
      </c>
      <c r="I55" s="12">
        <v>0</v>
      </c>
    </row>
    <row r="56" spans="2:9" ht="15" customHeight="1" x14ac:dyDescent="0.2">
      <c r="B56" t="s">
        <v>159</v>
      </c>
      <c r="C56" s="12">
        <v>13</v>
      </c>
      <c r="D56" s="8">
        <v>1.97</v>
      </c>
      <c r="E56" s="12">
        <v>9</v>
      </c>
      <c r="F56" s="8">
        <v>2.14</v>
      </c>
      <c r="G56" s="12">
        <v>4</v>
      </c>
      <c r="H56" s="8">
        <v>1.67</v>
      </c>
      <c r="I56" s="12">
        <v>0</v>
      </c>
    </row>
    <row r="57" spans="2:9" ht="15" customHeight="1" x14ac:dyDescent="0.2">
      <c r="B57" t="s">
        <v>209</v>
      </c>
      <c r="C57" s="12">
        <v>13</v>
      </c>
      <c r="D57" s="8">
        <v>1.97</v>
      </c>
      <c r="E57" s="12">
        <v>12</v>
      </c>
      <c r="F57" s="8">
        <v>2.86</v>
      </c>
      <c r="G57" s="12">
        <v>1</v>
      </c>
      <c r="H57" s="8">
        <v>0.42</v>
      </c>
      <c r="I57" s="12">
        <v>0</v>
      </c>
    </row>
    <row r="58" spans="2:9" ht="15" customHeight="1" x14ac:dyDescent="0.2">
      <c r="B58" t="s">
        <v>164</v>
      </c>
      <c r="C58" s="12">
        <v>11</v>
      </c>
      <c r="D58" s="8">
        <v>1.67</v>
      </c>
      <c r="E58" s="12">
        <v>7</v>
      </c>
      <c r="F58" s="8">
        <v>1.67</v>
      </c>
      <c r="G58" s="12">
        <v>4</v>
      </c>
      <c r="H58" s="8">
        <v>1.67</v>
      </c>
      <c r="I58" s="12">
        <v>0</v>
      </c>
    </row>
    <row r="59" spans="2:9" ht="15" customHeight="1" x14ac:dyDescent="0.2">
      <c r="B59" t="s">
        <v>171</v>
      </c>
      <c r="C59" s="12">
        <v>11</v>
      </c>
      <c r="D59" s="8">
        <v>1.67</v>
      </c>
      <c r="E59" s="12">
        <v>9</v>
      </c>
      <c r="F59" s="8">
        <v>2.14</v>
      </c>
      <c r="G59" s="12">
        <v>2</v>
      </c>
      <c r="H59" s="8">
        <v>0.83</v>
      </c>
      <c r="I59" s="12">
        <v>0</v>
      </c>
    </row>
    <row r="60" spans="2:9" ht="15" customHeight="1" x14ac:dyDescent="0.2">
      <c r="B60" t="s">
        <v>163</v>
      </c>
      <c r="C60" s="12">
        <v>10</v>
      </c>
      <c r="D60" s="8">
        <v>1.52</v>
      </c>
      <c r="E60" s="12">
        <v>7</v>
      </c>
      <c r="F60" s="8">
        <v>1.67</v>
      </c>
      <c r="G60" s="12">
        <v>3</v>
      </c>
      <c r="H60" s="8">
        <v>1.25</v>
      </c>
      <c r="I60" s="12">
        <v>0</v>
      </c>
    </row>
    <row r="61" spans="2:9" ht="15" customHeight="1" x14ac:dyDescent="0.2">
      <c r="B61" t="s">
        <v>188</v>
      </c>
      <c r="C61" s="12">
        <v>9</v>
      </c>
      <c r="D61" s="8">
        <v>1.36</v>
      </c>
      <c r="E61" s="12">
        <v>5</v>
      </c>
      <c r="F61" s="8">
        <v>1.19</v>
      </c>
      <c r="G61" s="12">
        <v>4</v>
      </c>
      <c r="H61" s="8">
        <v>1.67</v>
      </c>
      <c r="I61" s="12">
        <v>0</v>
      </c>
    </row>
    <row r="62" spans="2:9" ht="15" customHeight="1" x14ac:dyDescent="0.2">
      <c r="B62" t="s">
        <v>162</v>
      </c>
      <c r="C62" s="12">
        <v>9</v>
      </c>
      <c r="D62" s="8">
        <v>1.36</v>
      </c>
      <c r="E62" s="12">
        <v>7</v>
      </c>
      <c r="F62" s="8">
        <v>1.67</v>
      </c>
      <c r="G62" s="12">
        <v>2</v>
      </c>
      <c r="H62" s="8">
        <v>0.83</v>
      </c>
      <c r="I62" s="12">
        <v>0</v>
      </c>
    </row>
    <row r="63" spans="2:9" ht="15" customHeight="1" x14ac:dyDescent="0.2">
      <c r="B63" t="s">
        <v>206</v>
      </c>
      <c r="C63" s="12">
        <v>9</v>
      </c>
      <c r="D63" s="8">
        <v>1.36</v>
      </c>
      <c r="E63" s="12">
        <v>9</v>
      </c>
      <c r="F63" s="8">
        <v>2.14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157</v>
      </c>
      <c r="C64" s="12">
        <v>8</v>
      </c>
      <c r="D64" s="8">
        <v>1.21</v>
      </c>
      <c r="E64" s="12">
        <v>1</v>
      </c>
      <c r="F64" s="8">
        <v>0.24</v>
      </c>
      <c r="G64" s="12">
        <v>7</v>
      </c>
      <c r="H64" s="8">
        <v>2.92</v>
      </c>
      <c r="I64" s="12">
        <v>0</v>
      </c>
    </row>
    <row r="65" spans="2:9" ht="15" customHeight="1" x14ac:dyDescent="0.2">
      <c r="B65" t="s">
        <v>185</v>
      </c>
      <c r="C65" s="12">
        <v>8</v>
      </c>
      <c r="D65" s="8">
        <v>1.21</v>
      </c>
      <c r="E65" s="12">
        <v>5</v>
      </c>
      <c r="F65" s="8">
        <v>1.19</v>
      </c>
      <c r="G65" s="12">
        <v>3</v>
      </c>
      <c r="H65" s="8">
        <v>1.25</v>
      </c>
      <c r="I65" s="12">
        <v>0</v>
      </c>
    </row>
    <row r="66" spans="2:9" ht="15" customHeight="1" x14ac:dyDescent="0.2">
      <c r="B66" t="s">
        <v>176</v>
      </c>
      <c r="C66" s="12">
        <v>8</v>
      </c>
      <c r="D66" s="8">
        <v>1.21</v>
      </c>
      <c r="E66" s="12">
        <v>7</v>
      </c>
      <c r="F66" s="8">
        <v>1.67</v>
      </c>
      <c r="G66" s="12">
        <v>1</v>
      </c>
      <c r="H66" s="8">
        <v>0.42</v>
      </c>
      <c r="I66" s="12">
        <v>0</v>
      </c>
    </row>
    <row r="68" spans="2:9" ht="15" customHeight="1" x14ac:dyDescent="0.2">
      <c r="B68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8CB97-E7BF-414C-984A-99C64BD56F81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344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163</v>
      </c>
      <c r="D6" s="8">
        <v>18.559999999999999</v>
      </c>
      <c r="E6" s="12">
        <v>60</v>
      </c>
      <c r="F6" s="8">
        <v>13.19</v>
      </c>
      <c r="G6" s="12">
        <v>103</v>
      </c>
      <c r="H6" s="8">
        <v>24.88</v>
      </c>
      <c r="I6" s="12">
        <v>0</v>
      </c>
    </row>
    <row r="7" spans="2:9" ht="15" customHeight="1" x14ac:dyDescent="0.2">
      <c r="B7" t="s">
        <v>76</v>
      </c>
      <c r="C7" s="12">
        <v>101</v>
      </c>
      <c r="D7" s="8">
        <v>11.5</v>
      </c>
      <c r="E7" s="12">
        <v>42</v>
      </c>
      <c r="F7" s="8">
        <v>9.23</v>
      </c>
      <c r="G7" s="12">
        <v>59</v>
      </c>
      <c r="H7" s="8">
        <v>14.25</v>
      </c>
      <c r="I7" s="12">
        <v>0</v>
      </c>
    </row>
    <row r="8" spans="2:9" ht="15" customHeight="1" x14ac:dyDescent="0.2">
      <c r="B8" t="s">
        <v>77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78</v>
      </c>
      <c r="C9" s="12">
        <v>5</v>
      </c>
      <c r="D9" s="8">
        <v>0.56999999999999995</v>
      </c>
      <c r="E9" s="12">
        <v>1</v>
      </c>
      <c r="F9" s="8">
        <v>0.22</v>
      </c>
      <c r="G9" s="12">
        <v>4</v>
      </c>
      <c r="H9" s="8">
        <v>0.97</v>
      </c>
      <c r="I9" s="12">
        <v>0</v>
      </c>
    </row>
    <row r="10" spans="2:9" ht="15" customHeight="1" x14ac:dyDescent="0.2">
      <c r="B10" t="s">
        <v>79</v>
      </c>
      <c r="C10" s="12">
        <v>16</v>
      </c>
      <c r="D10" s="8">
        <v>1.82</v>
      </c>
      <c r="E10" s="12">
        <v>3</v>
      </c>
      <c r="F10" s="8">
        <v>0.66</v>
      </c>
      <c r="G10" s="12">
        <v>13</v>
      </c>
      <c r="H10" s="8">
        <v>3.14</v>
      </c>
      <c r="I10" s="12">
        <v>0</v>
      </c>
    </row>
    <row r="11" spans="2:9" ht="15" customHeight="1" x14ac:dyDescent="0.2">
      <c r="B11" t="s">
        <v>80</v>
      </c>
      <c r="C11" s="12">
        <v>203</v>
      </c>
      <c r="D11" s="8">
        <v>23.12</v>
      </c>
      <c r="E11" s="12">
        <v>106</v>
      </c>
      <c r="F11" s="8">
        <v>23.3</v>
      </c>
      <c r="G11" s="12">
        <v>97</v>
      </c>
      <c r="H11" s="8">
        <v>23.43</v>
      </c>
      <c r="I11" s="12">
        <v>0</v>
      </c>
    </row>
    <row r="12" spans="2:9" ht="15" customHeight="1" x14ac:dyDescent="0.2">
      <c r="B12" t="s">
        <v>81</v>
      </c>
      <c r="C12" s="12">
        <v>3</v>
      </c>
      <c r="D12" s="8">
        <v>0.34</v>
      </c>
      <c r="E12" s="12">
        <v>1</v>
      </c>
      <c r="F12" s="8">
        <v>0.22</v>
      </c>
      <c r="G12" s="12">
        <v>2</v>
      </c>
      <c r="H12" s="8">
        <v>0.48</v>
      </c>
      <c r="I12" s="12">
        <v>0</v>
      </c>
    </row>
    <row r="13" spans="2:9" ht="15" customHeight="1" x14ac:dyDescent="0.2">
      <c r="B13" t="s">
        <v>82</v>
      </c>
      <c r="C13" s="12">
        <v>66</v>
      </c>
      <c r="D13" s="8">
        <v>7.52</v>
      </c>
      <c r="E13" s="12">
        <v>18</v>
      </c>
      <c r="F13" s="8">
        <v>3.96</v>
      </c>
      <c r="G13" s="12">
        <v>47</v>
      </c>
      <c r="H13" s="8">
        <v>11.35</v>
      </c>
      <c r="I13" s="12">
        <v>1</v>
      </c>
    </row>
    <row r="14" spans="2:9" ht="15" customHeight="1" x14ac:dyDescent="0.2">
      <c r="B14" t="s">
        <v>83</v>
      </c>
      <c r="C14" s="12">
        <v>31</v>
      </c>
      <c r="D14" s="8">
        <v>3.53</v>
      </c>
      <c r="E14" s="12">
        <v>15</v>
      </c>
      <c r="F14" s="8">
        <v>3.3</v>
      </c>
      <c r="G14" s="12">
        <v>15</v>
      </c>
      <c r="H14" s="8">
        <v>3.62</v>
      </c>
      <c r="I14" s="12">
        <v>0</v>
      </c>
    </row>
    <row r="15" spans="2:9" ht="15" customHeight="1" x14ac:dyDescent="0.2">
      <c r="B15" t="s">
        <v>84</v>
      </c>
      <c r="C15" s="12">
        <v>70</v>
      </c>
      <c r="D15" s="8">
        <v>7.97</v>
      </c>
      <c r="E15" s="12">
        <v>52</v>
      </c>
      <c r="F15" s="8">
        <v>11.43</v>
      </c>
      <c r="G15" s="12">
        <v>17</v>
      </c>
      <c r="H15" s="8">
        <v>4.1100000000000003</v>
      </c>
      <c r="I15" s="12">
        <v>0</v>
      </c>
    </row>
    <row r="16" spans="2:9" ht="15" customHeight="1" x14ac:dyDescent="0.2">
      <c r="B16" t="s">
        <v>85</v>
      </c>
      <c r="C16" s="12">
        <v>108</v>
      </c>
      <c r="D16" s="8">
        <v>12.3</v>
      </c>
      <c r="E16" s="12">
        <v>90</v>
      </c>
      <c r="F16" s="8">
        <v>19.78</v>
      </c>
      <c r="G16" s="12">
        <v>18</v>
      </c>
      <c r="H16" s="8">
        <v>4.3499999999999996</v>
      </c>
      <c r="I16" s="12">
        <v>0</v>
      </c>
    </row>
    <row r="17" spans="2:9" ht="15" customHeight="1" x14ac:dyDescent="0.2">
      <c r="B17" t="s">
        <v>86</v>
      </c>
      <c r="C17" s="12">
        <v>32</v>
      </c>
      <c r="D17" s="8">
        <v>3.64</v>
      </c>
      <c r="E17" s="12">
        <v>25</v>
      </c>
      <c r="F17" s="8">
        <v>5.49</v>
      </c>
      <c r="G17" s="12">
        <v>5</v>
      </c>
      <c r="H17" s="8">
        <v>1.21</v>
      </c>
      <c r="I17" s="12">
        <v>0</v>
      </c>
    </row>
    <row r="18" spans="2:9" ht="15" customHeight="1" x14ac:dyDescent="0.2">
      <c r="B18" t="s">
        <v>87</v>
      </c>
      <c r="C18" s="12">
        <v>38</v>
      </c>
      <c r="D18" s="8">
        <v>4.33</v>
      </c>
      <c r="E18" s="12">
        <v>26</v>
      </c>
      <c r="F18" s="8">
        <v>5.71</v>
      </c>
      <c r="G18" s="12">
        <v>8</v>
      </c>
      <c r="H18" s="8">
        <v>1.93</v>
      </c>
      <c r="I18" s="12">
        <v>0</v>
      </c>
    </row>
    <row r="19" spans="2:9" ht="15" customHeight="1" x14ac:dyDescent="0.2">
      <c r="B19" t="s">
        <v>88</v>
      </c>
      <c r="C19" s="12">
        <v>42</v>
      </c>
      <c r="D19" s="8">
        <v>4.78</v>
      </c>
      <c r="E19" s="12">
        <v>16</v>
      </c>
      <c r="F19" s="8">
        <v>3.52</v>
      </c>
      <c r="G19" s="12">
        <v>26</v>
      </c>
      <c r="H19" s="8">
        <v>6.28</v>
      </c>
      <c r="I19" s="12">
        <v>0</v>
      </c>
    </row>
    <row r="20" spans="2:9" ht="15" customHeight="1" x14ac:dyDescent="0.2">
      <c r="B20" s="9" t="s">
        <v>269</v>
      </c>
      <c r="C20" s="12">
        <f>SUM(LTBL_11464[総数／事業所数])</f>
        <v>878</v>
      </c>
      <c r="E20" s="12">
        <f>SUBTOTAL(109,LTBL_11464[個人／事業所数])</f>
        <v>455</v>
      </c>
      <c r="G20" s="12">
        <f>SUBTOTAL(109,LTBL_11464[法人／事業所数])</f>
        <v>414</v>
      </c>
      <c r="I20" s="12">
        <f>SUBTOTAL(109,LTBL_11464[法人以外の団体／事業所数])</f>
        <v>1</v>
      </c>
    </row>
    <row r="21" spans="2:9" ht="15" customHeight="1" x14ac:dyDescent="0.2">
      <c r="E21" s="11">
        <f>LTBL_11464[[#Totals],[個人／事業所数]]/LTBL_11464[[#Totals],[総数／事業所数]]</f>
        <v>0.51822323462414577</v>
      </c>
      <c r="G21" s="11">
        <f>LTBL_11464[[#Totals],[法人／事業所数]]/LTBL_11464[[#Totals],[総数／事業所数]]</f>
        <v>0.47152619589977218</v>
      </c>
      <c r="I21" s="11">
        <f>LTBL_11464[[#Totals],[法人以外の団体／事業所数]]/LTBL_11464[[#Totals],[総数／事業所数]]</f>
        <v>1.1389521640091116E-3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112</v>
      </c>
      <c r="C24" s="12">
        <v>89</v>
      </c>
      <c r="D24" s="8">
        <v>10.14</v>
      </c>
      <c r="E24" s="12">
        <v>80</v>
      </c>
      <c r="F24" s="8">
        <v>17.579999999999998</v>
      </c>
      <c r="G24" s="12">
        <v>9</v>
      </c>
      <c r="H24" s="8">
        <v>2.17</v>
      </c>
      <c r="I24" s="12">
        <v>0</v>
      </c>
    </row>
    <row r="25" spans="2:9" ht="15" customHeight="1" x14ac:dyDescent="0.2">
      <c r="B25" t="s">
        <v>97</v>
      </c>
      <c r="C25" s="12">
        <v>64</v>
      </c>
      <c r="D25" s="8">
        <v>7.29</v>
      </c>
      <c r="E25" s="12">
        <v>24</v>
      </c>
      <c r="F25" s="8">
        <v>5.27</v>
      </c>
      <c r="G25" s="12">
        <v>40</v>
      </c>
      <c r="H25" s="8">
        <v>9.66</v>
      </c>
      <c r="I25" s="12">
        <v>0</v>
      </c>
    </row>
    <row r="26" spans="2:9" ht="15" customHeight="1" x14ac:dyDescent="0.2">
      <c r="B26" t="s">
        <v>111</v>
      </c>
      <c r="C26" s="12">
        <v>58</v>
      </c>
      <c r="D26" s="8">
        <v>6.61</v>
      </c>
      <c r="E26" s="12">
        <v>47</v>
      </c>
      <c r="F26" s="8">
        <v>10.33</v>
      </c>
      <c r="G26" s="12">
        <v>11</v>
      </c>
      <c r="H26" s="8">
        <v>2.66</v>
      </c>
      <c r="I26" s="12">
        <v>0</v>
      </c>
    </row>
    <row r="27" spans="2:9" ht="15" customHeight="1" x14ac:dyDescent="0.2">
      <c r="B27" t="s">
        <v>98</v>
      </c>
      <c r="C27" s="12">
        <v>54</v>
      </c>
      <c r="D27" s="8">
        <v>6.15</v>
      </c>
      <c r="E27" s="12">
        <v>25</v>
      </c>
      <c r="F27" s="8">
        <v>5.49</v>
      </c>
      <c r="G27" s="12">
        <v>29</v>
      </c>
      <c r="H27" s="8">
        <v>7</v>
      </c>
      <c r="I27" s="12">
        <v>0</v>
      </c>
    </row>
    <row r="28" spans="2:9" ht="15" customHeight="1" x14ac:dyDescent="0.2">
      <c r="B28" t="s">
        <v>106</v>
      </c>
      <c r="C28" s="12">
        <v>48</v>
      </c>
      <c r="D28" s="8">
        <v>5.47</v>
      </c>
      <c r="E28" s="12">
        <v>28</v>
      </c>
      <c r="F28" s="8">
        <v>6.15</v>
      </c>
      <c r="G28" s="12">
        <v>20</v>
      </c>
      <c r="H28" s="8">
        <v>4.83</v>
      </c>
      <c r="I28" s="12">
        <v>0</v>
      </c>
    </row>
    <row r="29" spans="2:9" ht="15" customHeight="1" x14ac:dyDescent="0.2">
      <c r="B29" t="s">
        <v>99</v>
      </c>
      <c r="C29" s="12">
        <v>45</v>
      </c>
      <c r="D29" s="8">
        <v>5.13</v>
      </c>
      <c r="E29" s="12">
        <v>11</v>
      </c>
      <c r="F29" s="8">
        <v>2.42</v>
      </c>
      <c r="G29" s="12">
        <v>34</v>
      </c>
      <c r="H29" s="8">
        <v>8.2100000000000009</v>
      </c>
      <c r="I29" s="12">
        <v>0</v>
      </c>
    </row>
    <row r="30" spans="2:9" ht="15" customHeight="1" x14ac:dyDescent="0.2">
      <c r="B30" t="s">
        <v>108</v>
      </c>
      <c r="C30" s="12">
        <v>44</v>
      </c>
      <c r="D30" s="8">
        <v>5.01</v>
      </c>
      <c r="E30" s="12">
        <v>15</v>
      </c>
      <c r="F30" s="8">
        <v>3.3</v>
      </c>
      <c r="G30" s="12">
        <v>28</v>
      </c>
      <c r="H30" s="8">
        <v>6.76</v>
      </c>
      <c r="I30" s="12">
        <v>1</v>
      </c>
    </row>
    <row r="31" spans="2:9" ht="15" customHeight="1" x14ac:dyDescent="0.2">
      <c r="B31" t="s">
        <v>104</v>
      </c>
      <c r="C31" s="12">
        <v>43</v>
      </c>
      <c r="D31" s="8">
        <v>4.9000000000000004</v>
      </c>
      <c r="E31" s="12">
        <v>36</v>
      </c>
      <c r="F31" s="8">
        <v>7.91</v>
      </c>
      <c r="G31" s="12">
        <v>7</v>
      </c>
      <c r="H31" s="8">
        <v>1.69</v>
      </c>
      <c r="I31" s="12">
        <v>0</v>
      </c>
    </row>
    <row r="32" spans="2:9" ht="15" customHeight="1" x14ac:dyDescent="0.2">
      <c r="B32" t="s">
        <v>105</v>
      </c>
      <c r="C32" s="12">
        <v>40</v>
      </c>
      <c r="D32" s="8">
        <v>4.5599999999999996</v>
      </c>
      <c r="E32" s="12">
        <v>22</v>
      </c>
      <c r="F32" s="8">
        <v>4.84</v>
      </c>
      <c r="G32" s="12">
        <v>18</v>
      </c>
      <c r="H32" s="8">
        <v>4.3499999999999996</v>
      </c>
      <c r="I32" s="12">
        <v>0</v>
      </c>
    </row>
    <row r="33" spans="2:9" ht="15" customHeight="1" x14ac:dyDescent="0.2">
      <c r="B33" t="s">
        <v>114</v>
      </c>
      <c r="C33" s="12">
        <v>32</v>
      </c>
      <c r="D33" s="8">
        <v>3.64</v>
      </c>
      <c r="E33" s="12">
        <v>25</v>
      </c>
      <c r="F33" s="8">
        <v>5.49</v>
      </c>
      <c r="G33" s="12">
        <v>5</v>
      </c>
      <c r="H33" s="8">
        <v>1.21</v>
      </c>
      <c r="I33" s="12">
        <v>0</v>
      </c>
    </row>
    <row r="34" spans="2:9" ht="15" customHeight="1" x14ac:dyDescent="0.2">
      <c r="B34" t="s">
        <v>115</v>
      </c>
      <c r="C34" s="12">
        <v>28</v>
      </c>
      <c r="D34" s="8">
        <v>3.19</v>
      </c>
      <c r="E34" s="12">
        <v>26</v>
      </c>
      <c r="F34" s="8">
        <v>5.71</v>
      </c>
      <c r="G34" s="12">
        <v>2</v>
      </c>
      <c r="H34" s="8">
        <v>0.48</v>
      </c>
      <c r="I34" s="12">
        <v>0</v>
      </c>
    </row>
    <row r="35" spans="2:9" ht="15" customHeight="1" x14ac:dyDescent="0.2">
      <c r="B35" t="s">
        <v>100</v>
      </c>
      <c r="C35" s="12">
        <v>22</v>
      </c>
      <c r="D35" s="8">
        <v>2.5099999999999998</v>
      </c>
      <c r="E35" s="12">
        <v>7</v>
      </c>
      <c r="F35" s="8">
        <v>1.54</v>
      </c>
      <c r="G35" s="12">
        <v>15</v>
      </c>
      <c r="H35" s="8">
        <v>3.62</v>
      </c>
      <c r="I35" s="12">
        <v>0</v>
      </c>
    </row>
    <row r="36" spans="2:9" ht="15" customHeight="1" x14ac:dyDescent="0.2">
      <c r="B36" t="s">
        <v>110</v>
      </c>
      <c r="C36" s="12">
        <v>20</v>
      </c>
      <c r="D36" s="8">
        <v>2.2799999999999998</v>
      </c>
      <c r="E36" s="12">
        <v>7</v>
      </c>
      <c r="F36" s="8">
        <v>1.54</v>
      </c>
      <c r="G36" s="12">
        <v>12</v>
      </c>
      <c r="H36" s="8">
        <v>2.9</v>
      </c>
      <c r="I36" s="12">
        <v>0</v>
      </c>
    </row>
    <row r="37" spans="2:9" ht="15" customHeight="1" x14ac:dyDescent="0.2">
      <c r="B37" t="s">
        <v>103</v>
      </c>
      <c r="C37" s="12">
        <v>17</v>
      </c>
      <c r="D37" s="8">
        <v>1.94</v>
      </c>
      <c r="E37" s="12">
        <v>12</v>
      </c>
      <c r="F37" s="8">
        <v>2.64</v>
      </c>
      <c r="G37" s="12">
        <v>5</v>
      </c>
      <c r="H37" s="8">
        <v>1.21</v>
      </c>
      <c r="I37" s="12">
        <v>0</v>
      </c>
    </row>
    <row r="38" spans="2:9" ht="15" customHeight="1" x14ac:dyDescent="0.2">
      <c r="B38" t="s">
        <v>107</v>
      </c>
      <c r="C38" s="12">
        <v>17</v>
      </c>
      <c r="D38" s="8">
        <v>1.94</v>
      </c>
      <c r="E38" s="12">
        <v>3</v>
      </c>
      <c r="F38" s="8">
        <v>0.66</v>
      </c>
      <c r="G38" s="12">
        <v>14</v>
      </c>
      <c r="H38" s="8">
        <v>3.38</v>
      </c>
      <c r="I38" s="12">
        <v>0</v>
      </c>
    </row>
    <row r="39" spans="2:9" ht="15" customHeight="1" x14ac:dyDescent="0.2">
      <c r="B39" t="s">
        <v>113</v>
      </c>
      <c r="C39" s="12">
        <v>16</v>
      </c>
      <c r="D39" s="8">
        <v>1.82</v>
      </c>
      <c r="E39" s="12">
        <v>8</v>
      </c>
      <c r="F39" s="8">
        <v>1.76</v>
      </c>
      <c r="G39" s="12">
        <v>8</v>
      </c>
      <c r="H39" s="8">
        <v>1.93</v>
      </c>
      <c r="I39" s="12">
        <v>0</v>
      </c>
    </row>
    <row r="40" spans="2:9" ht="15" customHeight="1" x14ac:dyDescent="0.2">
      <c r="B40" t="s">
        <v>119</v>
      </c>
      <c r="C40" s="12">
        <v>14</v>
      </c>
      <c r="D40" s="8">
        <v>1.59</v>
      </c>
      <c r="E40" s="12">
        <v>1</v>
      </c>
      <c r="F40" s="8">
        <v>0.22</v>
      </c>
      <c r="G40" s="12">
        <v>13</v>
      </c>
      <c r="H40" s="8">
        <v>3.14</v>
      </c>
      <c r="I40" s="12">
        <v>0</v>
      </c>
    </row>
    <row r="41" spans="2:9" ht="15" customHeight="1" x14ac:dyDescent="0.2">
      <c r="B41" t="s">
        <v>121</v>
      </c>
      <c r="C41" s="12">
        <v>13</v>
      </c>
      <c r="D41" s="8">
        <v>1.48</v>
      </c>
      <c r="E41" s="12">
        <v>1</v>
      </c>
      <c r="F41" s="8">
        <v>0.22</v>
      </c>
      <c r="G41" s="12">
        <v>12</v>
      </c>
      <c r="H41" s="8">
        <v>2.9</v>
      </c>
      <c r="I41" s="12">
        <v>0</v>
      </c>
    </row>
    <row r="42" spans="2:9" ht="15" customHeight="1" x14ac:dyDescent="0.2">
      <c r="B42" t="s">
        <v>116</v>
      </c>
      <c r="C42" s="12">
        <v>13</v>
      </c>
      <c r="D42" s="8">
        <v>1.48</v>
      </c>
      <c r="E42" s="12">
        <v>10</v>
      </c>
      <c r="F42" s="8">
        <v>2.2000000000000002</v>
      </c>
      <c r="G42" s="12">
        <v>3</v>
      </c>
      <c r="H42" s="8">
        <v>0.72</v>
      </c>
      <c r="I42" s="12">
        <v>0</v>
      </c>
    </row>
    <row r="43" spans="2:9" ht="15" customHeight="1" x14ac:dyDescent="0.2">
      <c r="B43" t="s">
        <v>101</v>
      </c>
      <c r="C43" s="12">
        <v>12</v>
      </c>
      <c r="D43" s="8">
        <v>1.37</v>
      </c>
      <c r="E43" s="12">
        <v>3</v>
      </c>
      <c r="F43" s="8">
        <v>0.66</v>
      </c>
      <c r="G43" s="12">
        <v>9</v>
      </c>
      <c r="H43" s="8">
        <v>2.17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173</v>
      </c>
      <c r="C47" s="12">
        <v>45</v>
      </c>
      <c r="D47" s="8">
        <v>5.13</v>
      </c>
      <c r="E47" s="12">
        <v>43</v>
      </c>
      <c r="F47" s="8">
        <v>9.4499999999999993</v>
      </c>
      <c r="G47" s="12">
        <v>2</v>
      </c>
      <c r="H47" s="8">
        <v>0.48</v>
      </c>
      <c r="I47" s="12">
        <v>0</v>
      </c>
    </row>
    <row r="48" spans="2:9" ht="15" customHeight="1" x14ac:dyDescent="0.2">
      <c r="B48" t="s">
        <v>172</v>
      </c>
      <c r="C48" s="12">
        <v>27</v>
      </c>
      <c r="D48" s="8">
        <v>3.08</v>
      </c>
      <c r="E48" s="12">
        <v>27</v>
      </c>
      <c r="F48" s="8">
        <v>5.93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159</v>
      </c>
      <c r="C49" s="12">
        <v>23</v>
      </c>
      <c r="D49" s="8">
        <v>2.62</v>
      </c>
      <c r="E49" s="12">
        <v>15</v>
      </c>
      <c r="F49" s="8">
        <v>3.3</v>
      </c>
      <c r="G49" s="12">
        <v>8</v>
      </c>
      <c r="H49" s="8">
        <v>1.93</v>
      </c>
      <c r="I49" s="12">
        <v>0</v>
      </c>
    </row>
    <row r="50" spans="2:9" ht="15" customHeight="1" x14ac:dyDescent="0.2">
      <c r="B50" t="s">
        <v>163</v>
      </c>
      <c r="C50" s="12">
        <v>23</v>
      </c>
      <c r="D50" s="8">
        <v>2.62</v>
      </c>
      <c r="E50" s="12">
        <v>11</v>
      </c>
      <c r="F50" s="8">
        <v>2.42</v>
      </c>
      <c r="G50" s="12">
        <v>12</v>
      </c>
      <c r="H50" s="8">
        <v>2.9</v>
      </c>
      <c r="I50" s="12">
        <v>0</v>
      </c>
    </row>
    <row r="51" spans="2:9" ht="15" customHeight="1" x14ac:dyDescent="0.2">
      <c r="B51" t="s">
        <v>160</v>
      </c>
      <c r="C51" s="12">
        <v>22</v>
      </c>
      <c r="D51" s="8">
        <v>2.5099999999999998</v>
      </c>
      <c r="E51" s="12">
        <v>5</v>
      </c>
      <c r="F51" s="8">
        <v>1.1000000000000001</v>
      </c>
      <c r="G51" s="12">
        <v>17</v>
      </c>
      <c r="H51" s="8">
        <v>4.1100000000000003</v>
      </c>
      <c r="I51" s="12">
        <v>0</v>
      </c>
    </row>
    <row r="52" spans="2:9" ht="15" customHeight="1" x14ac:dyDescent="0.2">
      <c r="B52" t="s">
        <v>167</v>
      </c>
      <c r="C52" s="12">
        <v>22</v>
      </c>
      <c r="D52" s="8">
        <v>2.5099999999999998</v>
      </c>
      <c r="E52" s="12">
        <v>10</v>
      </c>
      <c r="F52" s="8">
        <v>2.2000000000000002</v>
      </c>
      <c r="G52" s="12">
        <v>12</v>
      </c>
      <c r="H52" s="8">
        <v>2.9</v>
      </c>
      <c r="I52" s="12">
        <v>0</v>
      </c>
    </row>
    <row r="53" spans="2:9" ht="15" customHeight="1" x14ac:dyDescent="0.2">
      <c r="B53" t="s">
        <v>162</v>
      </c>
      <c r="C53" s="12">
        <v>21</v>
      </c>
      <c r="D53" s="8">
        <v>2.39</v>
      </c>
      <c r="E53" s="12">
        <v>17</v>
      </c>
      <c r="F53" s="8">
        <v>3.74</v>
      </c>
      <c r="G53" s="12">
        <v>4</v>
      </c>
      <c r="H53" s="8">
        <v>0.97</v>
      </c>
      <c r="I53" s="12">
        <v>0</v>
      </c>
    </row>
    <row r="54" spans="2:9" ht="15" customHeight="1" x14ac:dyDescent="0.2">
      <c r="B54" t="s">
        <v>174</v>
      </c>
      <c r="C54" s="12">
        <v>20</v>
      </c>
      <c r="D54" s="8">
        <v>2.2799999999999998</v>
      </c>
      <c r="E54" s="12">
        <v>16</v>
      </c>
      <c r="F54" s="8">
        <v>3.52</v>
      </c>
      <c r="G54" s="12">
        <v>4</v>
      </c>
      <c r="H54" s="8">
        <v>0.97</v>
      </c>
      <c r="I54" s="12">
        <v>0</v>
      </c>
    </row>
    <row r="55" spans="2:9" ht="15" customHeight="1" x14ac:dyDescent="0.2">
      <c r="B55" t="s">
        <v>161</v>
      </c>
      <c r="C55" s="12">
        <v>19</v>
      </c>
      <c r="D55" s="8">
        <v>2.16</v>
      </c>
      <c r="E55" s="12">
        <v>5</v>
      </c>
      <c r="F55" s="8">
        <v>1.1000000000000001</v>
      </c>
      <c r="G55" s="12">
        <v>14</v>
      </c>
      <c r="H55" s="8">
        <v>3.38</v>
      </c>
      <c r="I55" s="12">
        <v>0</v>
      </c>
    </row>
    <row r="56" spans="2:9" ht="15" customHeight="1" x14ac:dyDescent="0.2">
      <c r="B56" t="s">
        <v>169</v>
      </c>
      <c r="C56" s="12">
        <v>17</v>
      </c>
      <c r="D56" s="8">
        <v>1.94</v>
      </c>
      <c r="E56" s="12">
        <v>14</v>
      </c>
      <c r="F56" s="8">
        <v>3.08</v>
      </c>
      <c r="G56" s="12">
        <v>3</v>
      </c>
      <c r="H56" s="8">
        <v>0.72</v>
      </c>
      <c r="I56" s="12">
        <v>0</v>
      </c>
    </row>
    <row r="57" spans="2:9" ht="15" customHeight="1" x14ac:dyDescent="0.2">
      <c r="B57" t="s">
        <v>175</v>
      </c>
      <c r="C57" s="12">
        <v>17</v>
      </c>
      <c r="D57" s="8">
        <v>1.94</v>
      </c>
      <c r="E57" s="12">
        <v>17</v>
      </c>
      <c r="F57" s="8">
        <v>3.74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157</v>
      </c>
      <c r="C58" s="12">
        <v>16</v>
      </c>
      <c r="D58" s="8">
        <v>1.82</v>
      </c>
      <c r="E58" s="12">
        <v>0</v>
      </c>
      <c r="F58" s="8">
        <v>0</v>
      </c>
      <c r="G58" s="12">
        <v>16</v>
      </c>
      <c r="H58" s="8">
        <v>3.86</v>
      </c>
      <c r="I58" s="12">
        <v>0</v>
      </c>
    </row>
    <row r="59" spans="2:9" ht="15" customHeight="1" x14ac:dyDescent="0.2">
      <c r="B59" t="s">
        <v>158</v>
      </c>
      <c r="C59" s="12">
        <v>16</v>
      </c>
      <c r="D59" s="8">
        <v>1.82</v>
      </c>
      <c r="E59" s="12">
        <v>5</v>
      </c>
      <c r="F59" s="8">
        <v>1.1000000000000001</v>
      </c>
      <c r="G59" s="12">
        <v>11</v>
      </c>
      <c r="H59" s="8">
        <v>2.66</v>
      </c>
      <c r="I59" s="12">
        <v>0</v>
      </c>
    </row>
    <row r="60" spans="2:9" ht="15" customHeight="1" x14ac:dyDescent="0.2">
      <c r="B60" t="s">
        <v>182</v>
      </c>
      <c r="C60" s="12">
        <v>15</v>
      </c>
      <c r="D60" s="8">
        <v>1.71</v>
      </c>
      <c r="E60" s="12">
        <v>10</v>
      </c>
      <c r="F60" s="8">
        <v>2.2000000000000002</v>
      </c>
      <c r="G60" s="12">
        <v>5</v>
      </c>
      <c r="H60" s="8">
        <v>1.21</v>
      </c>
      <c r="I60" s="12">
        <v>0</v>
      </c>
    </row>
    <row r="61" spans="2:9" ht="15" customHeight="1" x14ac:dyDescent="0.2">
      <c r="B61" t="s">
        <v>170</v>
      </c>
      <c r="C61" s="12">
        <v>15</v>
      </c>
      <c r="D61" s="8">
        <v>1.71</v>
      </c>
      <c r="E61" s="12">
        <v>12</v>
      </c>
      <c r="F61" s="8">
        <v>2.64</v>
      </c>
      <c r="G61" s="12">
        <v>3</v>
      </c>
      <c r="H61" s="8">
        <v>0.72</v>
      </c>
      <c r="I61" s="12">
        <v>0</v>
      </c>
    </row>
    <row r="62" spans="2:9" ht="15" customHeight="1" x14ac:dyDescent="0.2">
      <c r="B62" t="s">
        <v>164</v>
      </c>
      <c r="C62" s="12">
        <v>13</v>
      </c>
      <c r="D62" s="8">
        <v>1.48</v>
      </c>
      <c r="E62" s="12">
        <v>9</v>
      </c>
      <c r="F62" s="8">
        <v>1.98</v>
      </c>
      <c r="G62" s="12">
        <v>4</v>
      </c>
      <c r="H62" s="8">
        <v>0.97</v>
      </c>
      <c r="I62" s="12">
        <v>0</v>
      </c>
    </row>
    <row r="63" spans="2:9" ht="15" customHeight="1" x14ac:dyDescent="0.2">
      <c r="B63" t="s">
        <v>165</v>
      </c>
      <c r="C63" s="12">
        <v>13</v>
      </c>
      <c r="D63" s="8">
        <v>1.48</v>
      </c>
      <c r="E63" s="12">
        <v>3</v>
      </c>
      <c r="F63" s="8">
        <v>0.66</v>
      </c>
      <c r="G63" s="12">
        <v>10</v>
      </c>
      <c r="H63" s="8">
        <v>2.42</v>
      </c>
      <c r="I63" s="12">
        <v>0</v>
      </c>
    </row>
    <row r="64" spans="2:9" ht="15" customHeight="1" x14ac:dyDescent="0.2">
      <c r="B64" t="s">
        <v>178</v>
      </c>
      <c r="C64" s="12">
        <v>13</v>
      </c>
      <c r="D64" s="8">
        <v>1.48</v>
      </c>
      <c r="E64" s="12">
        <v>3</v>
      </c>
      <c r="F64" s="8">
        <v>0.66</v>
      </c>
      <c r="G64" s="12">
        <v>9</v>
      </c>
      <c r="H64" s="8">
        <v>2.17</v>
      </c>
      <c r="I64" s="12">
        <v>0</v>
      </c>
    </row>
    <row r="65" spans="2:9" ht="15" customHeight="1" x14ac:dyDescent="0.2">
      <c r="B65" t="s">
        <v>176</v>
      </c>
      <c r="C65" s="12">
        <v>13</v>
      </c>
      <c r="D65" s="8">
        <v>1.48</v>
      </c>
      <c r="E65" s="12">
        <v>10</v>
      </c>
      <c r="F65" s="8">
        <v>2.2000000000000002</v>
      </c>
      <c r="G65" s="12">
        <v>3</v>
      </c>
      <c r="H65" s="8">
        <v>0.72</v>
      </c>
      <c r="I65" s="12">
        <v>0</v>
      </c>
    </row>
    <row r="66" spans="2:9" ht="15" customHeight="1" x14ac:dyDescent="0.2">
      <c r="B66" t="s">
        <v>203</v>
      </c>
      <c r="C66" s="12">
        <v>12</v>
      </c>
      <c r="D66" s="8">
        <v>1.37</v>
      </c>
      <c r="E66" s="12">
        <v>6</v>
      </c>
      <c r="F66" s="8">
        <v>1.32</v>
      </c>
      <c r="G66" s="12">
        <v>6</v>
      </c>
      <c r="H66" s="8">
        <v>1.45</v>
      </c>
      <c r="I66" s="12">
        <v>0</v>
      </c>
    </row>
    <row r="67" spans="2:9" ht="15" customHeight="1" x14ac:dyDescent="0.2">
      <c r="B67" t="s">
        <v>222</v>
      </c>
      <c r="C67" s="12">
        <v>12</v>
      </c>
      <c r="D67" s="8">
        <v>1.37</v>
      </c>
      <c r="E67" s="12">
        <v>1</v>
      </c>
      <c r="F67" s="8">
        <v>0.22</v>
      </c>
      <c r="G67" s="12">
        <v>11</v>
      </c>
      <c r="H67" s="8">
        <v>2.66</v>
      </c>
      <c r="I67" s="12">
        <v>0</v>
      </c>
    </row>
    <row r="69" spans="2:9" ht="15" customHeight="1" x14ac:dyDescent="0.2">
      <c r="B69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C470E-753F-419A-A277-4B1741B8C0BD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345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143</v>
      </c>
      <c r="D6" s="8">
        <v>23.06</v>
      </c>
      <c r="E6" s="12">
        <v>51</v>
      </c>
      <c r="F6" s="8">
        <v>16.829999999999998</v>
      </c>
      <c r="G6" s="12">
        <v>92</v>
      </c>
      <c r="H6" s="8">
        <v>29.3</v>
      </c>
      <c r="I6" s="12">
        <v>0</v>
      </c>
    </row>
    <row r="7" spans="2:9" ht="15" customHeight="1" x14ac:dyDescent="0.2">
      <c r="B7" t="s">
        <v>76</v>
      </c>
      <c r="C7" s="12">
        <v>123</v>
      </c>
      <c r="D7" s="8">
        <v>19.84</v>
      </c>
      <c r="E7" s="12">
        <v>39</v>
      </c>
      <c r="F7" s="8">
        <v>12.87</v>
      </c>
      <c r="G7" s="12">
        <v>84</v>
      </c>
      <c r="H7" s="8">
        <v>26.75</v>
      </c>
      <c r="I7" s="12">
        <v>0</v>
      </c>
    </row>
    <row r="8" spans="2:9" ht="15" customHeight="1" x14ac:dyDescent="0.2">
      <c r="B8" t="s">
        <v>77</v>
      </c>
      <c r="C8" s="12">
        <v>2</v>
      </c>
      <c r="D8" s="8">
        <v>0.32</v>
      </c>
      <c r="E8" s="12">
        <v>1</v>
      </c>
      <c r="F8" s="8">
        <v>0.33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78</v>
      </c>
      <c r="C9" s="12">
        <v>3</v>
      </c>
      <c r="D9" s="8">
        <v>0.48</v>
      </c>
      <c r="E9" s="12">
        <v>2</v>
      </c>
      <c r="F9" s="8">
        <v>0.66</v>
      </c>
      <c r="G9" s="12">
        <v>1</v>
      </c>
      <c r="H9" s="8">
        <v>0.32</v>
      </c>
      <c r="I9" s="12">
        <v>0</v>
      </c>
    </row>
    <row r="10" spans="2:9" ht="15" customHeight="1" x14ac:dyDescent="0.2">
      <c r="B10" t="s">
        <v>79</v>
      </c>
      <c r="C10" s="12">
        <v>12</v>
      </c>
      <c r="D10" s="8">
        <v>1.94</v>
      </c>
      <c r="E10" s="12">
        <v>2</v>
      </c>
      <c r="F10" s="8">
        <v>0.66</v>
      </c>
      <c r="G10" s="12">
        <v>10</v>
      </c>
      <c r="H10" s="8">
        <v>3.18</v>
      </c>
      <c r="I10" s="12">
        <v>0</v>
      </c>
    </row>
    <row r="11" spans="2:9" ht="15" customHeight="1" x14ac:dyDescent="0.2">
      <c r="B11" t="s">
        <v>80</v>
      </c>
      <c r="C11" s="12">
        <v>97</v>
      </c>
      <c r="D11" s="8">
        <v>15.65</v>
      </c>
      <c r="E11" s="12">
        <v>40</v>
      </c>
      <c r="F11" s="8">
        <v>13.2</v>
      </c>
      <c r="G11" s="12">
        <v>57</v>
      </c>
      <c r="H11" s="8">
        <v>18.149999999999999</v>
      </c>
      <c r="I11" s="12">
        <v>0</v>
      </c>
    </row>
    <row r="12" spans="2:9" ht="15" customHeight="1" x14ac:dyDescent="0.2">
      <c r="B12" t="s">
        <v>81</v>
      </c>
      <c r="C12" s="12">
        <v>2</v>
      </c>
      <c r="D12" s="8">
        <v>0.32</v>
      </c>
      <c r="E12" s="12">
        <v>0</v>
      </c>
      <c r="F12" s="8">
        <v>0</v>
      </c>
      <c r="G12" s="12">
        <v>2</v>
      </c>
      <c r="H12" s="8">
        <v>0.64</v>
      </c>
      <c r="I12" s="12">
        <v>0</v>
      </c>
    </row>
    <row r="13" spans="2:9" ht="15" customHeight="1" x14ac:dyDescent="0.2">
      <c r="B13" t="s">
        <v>82</v>
      </c>
      <c r="C13" s="12">
        <v>72</v>
      </c>
      <c r="D13" s="8">
        <v>11.61</v>
      </c>
      <c r="E13" s="12">
        <v>51</v>
      </c>
      <c r="F13" s="8">
        <v>16.829999999999998</v>
      </c>
      <c r="G13" s="12">
        <v>21</v>
      </c>
      <c r="H13" s="8">
        <v>6.69</v>
      </c>
      <c r="I13" s="12">
        <v>0</v>
      </c>
    </row>
    <row r="14" spans="2:9" ht="15" customHeight="1" x14ac:dyDescent="0.2">
      <c r="B14" t="s">
        <v>83</v>
      </c>
      <c r="C14" s="12">
        <v>14</v>
      </c>
      <c r="D14" s="8">
        <v>2.2599999999999998</v>
      </c>
      <c r="E14" s="12">
        <v>6</v>
      </c>
      <c r="F14" s="8">
        <v>1.98</v>
      </c>
      <c r="G14" s="12">
        <v>8</v>
      </c>
      <c r="H14" s="8">
        <v>2.5499999999999998</v>
      </c>
      <c r="I14" s="12">
        <v>0</v>
      </c>
    </row>
    <row r="15" spans="2:9" ht="15" customHeight="1" x14ac:dyDescent="0.2">
      <c r="B15" t="s">
        <v>84</v>
      </c>
      <c r="C15" s="12">
        <v>40</v>
      </c>
      <c r="D15" s="8">
        <v>6.45</v>
      </c>
      <c r="E15" s="12">
        <v>31</v>
      </c>
      <c r="F15" s="8">
        <v>10.23</v>
      </c>
      <c r="G15" s="12">
        <v>9</v>
      </c>
      <c r="H15" s="8">
        <v>2.87</v>
      </c>
      <c r="I15" s="12">
        <v>0</v>
      </c>
    </row>
    <row r="16" spans="2:9" ht="15" customHeight="1" x14ac:dyDescent="0.2">
      <c r="B16" t="s">
        <v>85</v>
      </c>
      <c r="C16" s="12">
        <v>55</v>
      </c>
      <c r="D16" s="8">
        <v>8.8699999999999992</v>
      </c>
      <c r="E16" s="12">
        <v>44</v>
      </c>
      <c r="F16" s="8">
        <v>14.52</v>
      </c>
      <c r="G16" s="12">
        <v>10</v>
      </c>
      <c r="H16" s="8">
        <v>3.18</v>
      </c>
      <c r="I16" s="12">
        <v>0</v>
      </c>
    </row>
    <row r="17" spans="2:9" ht="15" customHeight="1" x14ac:dyDescent="0.2">
      <c r="B17" t="s">
        <v>86</v>
      </c>
      <c r="C17" s="12">
        <v>14</v>
      </c>
      <c r="D17" s="8">
        <v>2.2599999999999998</v>
      </c>
      <c r="E17" s="12">
        <v>11</v>
      </c>
      <c r="F17" s="8">
        <v>3.63</v>
      </c>
      <c r="G17" s="12">
        <v>2</v>
      </c>
      <c r="H17" s="8">
        <v>0.64</v>
      </c>
      <c r="I17" s="12">
        <v>0</v>
      </c>
    </row>
    <row r="18" spans="2:9" ht="15" customHeight="1" x14ac:dyDescent="0.2">
      <c r="B18" t="s">
        <v>87</v>
      </c>
      <c r="C18" s="12">
        <v>15</v>
      </c>
      <c r="D18" s="8">
        <v>2.42</v>
      </c>
      <c r="E18" s="12">
        <v>9</v>
      </c>
      <c r="F18" s="8">
        <v>2.97</v>
      </c>
      <c r="G18" s="12">
        <v>6</v>
      </c>
      <c r="H18" s="8">
        <v>1.91</v>
      </c>
      <c r="I18" s="12">
        <v>0</v>
      </c>
    </row>
    <row r="19" spans="2:9" ht="15" customHeight="1" x14ac:dyDescent="0.2">
      <c r="B19" t="s">
        <v>88</v>
      </c>
      <c r="C19" s="12">
        <v>28</v>
      </c>
      <c r="D19" s="8">
        <v>4.5199999999999996</v>
      </c>
      <c r="E19" s="12">
        <v>16</v>
      </c>
      <c r="F19" s="8">
        <v>5.28</v>
      </c>
      <c r="G19" s="12">
        <v>12</v>
      </c>
      <c r="H19" s="8">
        <v>3.82</v>
      </c>
      <c r="I19" s="12">
        <v>0</v>
      </c>
    </row>
    <row r="20" spans="2:9" ht="15" customHeight="1" x14ac:dyDescent="0.2">
      <c r="B20" s="9" t="s">
        <v>269</v>
      </c>
      <c r="C20" s="12">
        <f>SUM(LTBL_11465[総数／事業所数])</f>
        <v>620</v>
      </c>
      <c r="E20" s="12">
        <f>SUBTOTAL(109,LTBL_11465[個人／事業所数])</f>
        <v>303</v>
      </c>
      <c r="G20" s="12">
        <f>SUBTOTAL(109,LTBL_11465[法人／事業所数])</f>
        <v>314</v>
      </c>
      <c r="I20" s="12">
        <f>SUBTOTAL(109,LTBL_11465[法人以外の団体／事業所数])</f>
        <v>0</v>
      </c>
    </row>
    <row r="21" spans="2:9" ht="15" customHeight="1" x14ac:dyDescent="0.2">
      <c r="E21" s="11">
        <f>LTBL_11465[[#Totals],[個人／事業所数]]/LTBL_11465[[#Totals],[総数／事業所数]]</f>
        <v>0.48870967741935484</v>
      </c>
      <c r="G21" s="11">
        <f>LTBL_11465[[#Totals],[法人／事業所数]]/LTBL_11465[[#Totals],[総数／事業所数]]</f>
        <v>0.50645161290322582</v>
      </c>
      <c r="I21" s="11">
        <f>LTBL_11465[[#Totals],[法人以外の団体／事業所数]]/LTBL_11465[[#Totals],[総数／事業所数]]</f>
        <v>0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108</v>
      </c>
      <c r="C24" s="12">
        <v>66</v>
      </c>
      <c r="D24" s="8">
        <v>10.65</v>
      </c>
      <c r="E24" s="12">
        <v>51</v>
      </c>
      <c r="F24" s="8">
        <v>16.829999999999998</v>
      </c>
      <c r="G24" s="12">
        <v>15</v>
      </c>
      <c r="H24" s="8">
        <v>4.78</v>
      </c>
      <c r="I24" s="12">
        <v>0</v>
      </c>
    </row>
    <row r="25" spans="2:9" ht="15" customHeight="1" x14ac:dyDescent="0.2">
      <c r="B25" t="s">
        <v>98</v>
      </c>
      <c r="C25" s="12">
        <v>63</v>
      </c>
      <c r="D25" s="8">
        <v>10.16</v>
      </c>
      <c r="E25" s="12">
        <v>29</v>
      </c>
      <c r="F25" s="8">
        <v>9.57</v>
      </c>
      <c r="G25" s="12">
        <v>34</v>
      </c>
      <c r="H25" s="8">
        <v>10.83</v>
      </c>
      <c r="I25" s="12">
        <v>0</v>
      </c>
    </row>
    <row r="26" spans="2:9" ht="15" customHeight="1" x14ac:dyDescent="0.2">
      <c r="B26" t="s">
        <v>112</v>
      </c>
      <c r="C26" s="12">
        <v>44</v>
      </c>
      <c r="D26" s="8">
        <v>7.1</v>
      </c>
      <c r="E26" s="12">
        <v>37</v>
      </c>
      <c r="F26" s="8">
        <v>12.21</v>
      </c>
      <c r="G26" s="12">
        <v>7</v>
      </c>
      <c r="H26" s="8">
        <v>2.23</v>
      </c>
      <c r="I26" s="12">
        <v>0</v>
      </c>
    </row>
    <row r="27" spans="2:9" ht="15" customHeight="1" x14ac:dyDescent="0.2">
      <c r="B27" t="s">
        <v>99</v>
      </c>
      <c r="C27" s="12">
        <v>41</v>
      </c>
      <c r="D27" s="8">
        <v>6.61</v>
      </c>
      <c r="E27" s="12">
        <v>9</v>
      </c>
      <c r="F27" s="8">
        <v>2.97</v>
      </c>
      <c r="G27" s="12">
        <v>32</v>
      </c>
      <c r="H27" s="8">
        <v>10.19</v>
      </c>
      <c r="I27" s="12">
        <v>0</v>
      </c>
    </row>
    <row r="28" spans="2:9" ht="15" customHeight="1" x14ac:dyDescent="0.2">
      <c r="B28" t="s">
        <v>97</v>
      </c>
      <c r="C28" s="12">
        <v>39</v>
      </c>
      <c r="D28" s="8">
        <v>6.29</v>
      </c>
      <c r="E28" s="12">
        <v>13</v>
      </c>
      <c r="F28" s="8">
        <v>4.29</v>
      </c>
      <c r="G28" s="12">
        <v>26</v>
      </c>
      <c r="H28" s="8">
        <v>8.2799999999999994</v>
      </c>
      <c r="I28" s="12">
        <v>0</v>
      </c>
    </row>
    <row r="29" spans="2:9" ht="15" customHeight="1" x14ac:dyDescent="0.2">
      <c r="B29" t="s">
        <v>111</v>
      </c>
      <c r="C29" s="12">
        <v>36</v>
      </c>
      <c r="D29" s="8">
        <v>5.81</v>
      </c>
      <c r="E29" s="12">
        <v>27</v>
      </c>
      <c r="F29" s="8">
        <v>8.91</v>
      </c>
      <c r="G29" s="12">
        <v>9</v>
      </c>
      <c r="H29" s="8">
        <v>2.87</v>
      </c>
      <c r="I29" s="12">
        <v>0</v>
      </c>
    </row>
    <row r="30" spans="2:9" ht="15" customHeight="1" x14ac:dyDescent="0.2">
      <c r="B30" t="s">
        <v>100</v>
      </c>
      <c r="C30" s="12">
        <v>30</v>
      </c>
      <c r="D30" s="8">
        <v>4.84</v>
      </c>
      <c r="E30" s="12">
        <v>7</v>
      </c>
      <c r="F30" s="8">
        <v>2.31</v>
      </c>
      <c r="G30" s="12">
        <v>23</v>
      </c>
      <c r="H30" s="8">
        <v>7.32</v>
      </c>
      <c r="I30" s="12">
        <v>0</v>
      </c>
    </row>
    <row r="31" spans="2:9" ht="15" customHeight="1" x14ac:dyDescent="0.2">
      <c r="B31" t="s">
        <v>105</v>
      </c>
      <c r="C31" s="12">
        <v>23</v>
      </c>
      <c r="D31" s="8">
        <v>3.71</v>
      </c>
      <c r="E31" s="12">
        <v>8</v>
      </c>
      <c r="F31" s="8">
        <v>2.64</v>
      </c>
      <c r="G31" s="12">
        <v>15</v>
      </c>
      <c r="H31" s="8">
        <v>4.78</v>
      </c>
      <c r="I31" s="12">
        <v>0</v>
      </c>
    </row>
    <row r="32" spans="2:9" ht="15" customHeight="1" x14ac:dyDescent="0.2">
      <c r="B32" t="s">
        <v>106</v>
      </c>
      <c r="C32" s="12">
        <v>19</v>
      </c>
      <c r="D32" s="8">
        <v>3.06</v>
      </c>
      <c r="E32" s="12">
        <v>8</v>
      </c>
      <c r="F32" s="8">
        <v>2.64</v>
      </c>
      <c r="G32" s="12">
        <v>11</v>
      </c>
      <c r="H32" s="8">
        <v>3.5</v>
      </c>
      <c r="I32" s="12">
        <v>0</v>
      </c>
    </row>
    <row r="33" spans="2:9" ht="15" customHeight="1" x14ac:dyDescent="0.2">
      <c r="B33" t="s">
        <v>116</v>
      </c>
      <c r="C33" s="12">
        <v>18</v>
      </c>
      <c r="D33" s="8">
        <v>2.9</v>
      </c>
      <c r="E33" s="12">
        <v>15</v>
      </c>
      <c r="F33" s="8">
        <v>4.95</v>
      </c>
      <c r="G33" s="12">
        <v>3</v>
      </c>
      <c r="H33" s="8">
        <v>0.96</v>
      </c>
      <c r="I33" s="12">
        <v>0</v>
      </c>
    </row>
    <row r="34" spans="2:9" ht="15" customHeight="1" x14ac:dyDescent="0.2">
      <c r="B34" t="s">
        <v>130</v>
      </c>
      <c r="C34" s="12">
        <v>16</v>
      </c>
      <c r="D34" s="8">
        <v>2.58</v>
      </c>
      <c r="E34" s="12">
        <v>9</v>
      </c>
      <c r="F34" s="8">
        <v>2.97</v>
      </c>
      <c r="G34" s="12">
        <v>7</v>
      </c>
      <c r="H34" s="8">
        <v>2.23</v>
      </c>
      <c r="I34" s="12">
        <v>0</v>
      </c>
    </row>
    <row r="35" spans="2:9" ht="15" customHeight="1" x14ac:dyDescent="0.2">
      <c r="B35" t="s">
        <v>102</v>
      </c>
      <c r="C35" s="12">
        <v>14</v>
      </c>
      <c r="D35" s="8">
        <v>2.2599999999999998</v>
      </c>
      <c r="E35" s="12">
        <v>5</v>
      </c>
      <c r="F35" s="8">
        <v>1.65</v>
      </c>
      <c r="G35" s="12">
        <v>9</v>
      </c>
      <c r="H35" s="8">
        <v>2.87</v>
      </c>
      <c r="I35" s="12">
        <v>0</v>
      </c>
    </row>
    <row r="36" spans="2:9" ht="15" customHeight="1" x14ac:dyDescent="0.2">
      <c r="B36" t="s">
        <v>114</v>
      </c>
      <c r="C36" s="12">
        <v>14</v>
      </c>
      <c r="D36" s="8">
        <v>2.2599999999999998</v>
      </c>
      <c r="E36" s="12">
        <v>11</v>
      </c>
      <c r="F36" s="8">
        <v>3.63</v>
      </c>
      <c r="G36" s="12">
        <v>2</v>
      </c>
      <c r="H36" s="8">
        <v>0.64</v>
      </c>
      <c r="I36" s="12">
        <v>0</v>
      </c>
    </row>
    <row r="37" spans="2:9" ht="15" customHeight="1" x14ac:dyDescent="0.2">
      <c r="B37" t="s">
        <v>104</v>
      </c>
      <c r="C37" s="12">
        <v>13</v>
      </c>
      <c r="D37" s="8">
        <v>2.1</v>
      </c>
      <c r="E37" s="12">
        <v>10</v>
      </c>
      <c r="F37" s="8">
        <v>3.3</v>
      </c>
      <c r="G37" s="12">
        <v>3</v>
      </c>
      <c r="H37" s="8">
        <v>0.96</v>
      </c>
      <c r="I37" s="12">
        <v>0</v>
      </c>
    </row>
    <row r="38" spans="2:9" ht="15" customHeight="1" x14ac:dyDescent="0.2">
      <c r="B38" t="s">
        <v>128</v>
      </c>
      <c r="C38" s="12">
        <v>11</v>
      </c>
      <c r="D38" s="8">
        <v>1.77</v>
      </c>
      <c r="E38" s="12">
        <v>2</v>
      </c>
      <c r="F38" s="8">
        <v>0.66</v>
      </c>
      <c r="G38" s="12">
        <v>9</v>
      </c>
      <c r="H38" s="8">
        <v>2.87</v>
      </c>
      <c r="I38" s="12">
        <v>0</v>
      </c>
    </row>
    <row r="39" spans="2:9" ht="15" customHeight="1" x14ac:dyDescent="0.2">
      <c r="B39" t="s">
        <v>101</v>
      </c>
      <c r="C39" s="12">
        <v>11</v>
      </c>
      <c r="D39" s="8">
        <v>1.77</v>
      </c>
      <c r="E39" s="12">
        <v>3</v>
      </c>
      <c r="F39" s="8">
        <v>0.99</v>
      </c>
      <c r="G39" s="12">
        <v>8</v>
      </c>
      <c r="H39" s="8">
        <v>2.5499999999999998</v>
      </c>
      <c r="I39" s="12">
        <v>0</v>
      </c>
    </row>
    <row r="40" spans="2:9" ht="15" customHeight="1" x14ac:dyDescent="0.2">
      <c r="B40" t="s">
        <v>120</v>
      </c>
      <c r="C40" s="12">
        <v>10</v>
      </c>
      <c r="D40" s="8">
        <v>1.61</v>
      </c>
      <c r="E40" s="12">
        <v>1</v>
      </c>
      <c r="F40" s="8">
        <v>0.33</v>
      </c>
      <c r="G40" s="12">
        <v>9</v>
      </c>
      <c r="H40" s="8">
        <v>2.87</v>
      </c>
      <c r="I40" s="12">
        <v>0</v>
      </c>
    </row>
    <row r="41" spans="2:9" ht="15" customHeight="1" x14ac:dyDescent="0.2">
      <c r="B41" t="s">
        <v>115</v>
      </c>
      <c r="C41" s="12">
        <v>10</v>
      </c>
      <c r="D41" s="8">
        <v>1.61</v>
      </c>
      <c r="E41" s="12">
        <v>9</v>
      </c>
      <c r="F41" s="8">
        <v>2.97</v>
      </c>
      <c r="G41" s="12">
        <v>1</v>
      </c>
      <c r="H41" s="8">
        <v>0.32</v>
      </c>
      <c r="I41" s="12">
        <v>0</v>
      </c>
    </row>
    <row r="42" spans="2:9" ht="15" customHeight="1" x14ac:dyDescent="0.2">
      <c r="B42" t="s">
        <v>141</v>
      </c>
      <c r="C42" s="12">
        <v>8</v>
      </c>
      <c r="D42" s="8">
        <v>1.29</v>
      </c>
      <c r="E42" s="12">
        <v>1</v>
      </c>
      <c r="F42" s="8">
        <v>0.33</v>
      </c>
      <c r="G42" s="12">
        <v>7</v>
      </c>
      <c r="H42" s="8">
        <v>2.23</v>
      </c>
      <c r="I42" s="12">
        <v>0</v>
      </c>
    </row>
    <row r="43" spans="2:9" ht="15" customHeight="1" x14ac:dyDescent="0.2">
      <c r="B43" t="s">
        <v>113</v>
      </c>
      <c r="C43" s="12">
        <v>8</v>
      </c>
      <c r="D43" s="8">
        <v>1.29</v>
      </c>
      <c r="E43" s="12">
        <v>5</v>
      </c>
      <c r="F43" s="8">
        <v>1.65</v>
      </c>
      <c r="G43" s="12">
        <v>3</v>
      </c>
      <c r="H43" s="8">
        <v>0.96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167</v>
      </c>
      <c r="C47" s="12">
        <v>40</v>
      </c>
      <c r="D47" s="8">
        <v>6.45</v>
      </c>
      <c r="E47" s="12">
        <v>34</v>
      </c>
      <c r="F47" s="8">
        <v>11.22</v>
      </c>
      <c r="G47" s="12">
        <v>6</v>
      </c>
      <c r="H47" s="8">
        <v>1.91</v>
      </c>
      <c r="I47" s="12">
        <v>0</v>
      </c>
    </row>
    <row r="48" spans="2:9" ht="15" customHeight="1" x14ac:dyDescent="0.2">
      <c r="B48" t="s">
        <v>161</v>
      </c>
      <c r="C48" s="12">
        <v>22</v>
      </c>
      <c r="D48" s="8">
        <v>3.55</v>
      </c>
      <c r="E48" s="12">
        <v>5</v>
      </c>
      <c r="F48" s="8">
        <v>1.65</v>
      </c>
      <c r="G48" s="12">
        <v>17</v>
      </c>
      <c r="H48" s="8">
        <v>5.41</v>
      </c>
      <c r="I48" s="12">
        <v>0</v>
      </c>
    </row>
    <row r="49" spans="2:9" ht="15" customHeight="1" x14ac:dyDescent="0.2">
      <c r="B49" t="s">
        <v>173</v>
      </c>
      <c r="C49" s="12">
        <v>21</v>
      </c>
      <c r="D49" s="8">
        <v>3.39</v>
      </c>
      <c r="E49" s="12">
        <v>20</v>
      </c>
      <c r="F49" s="8">
        <v>6.6</v>
      </c>
      <c r="G49" s="12">
        <v>1</v>
      </c>
      <c r="H49" s="8">
        <v>0.32</v>
      </c>
      <c r="I49" s="12">
        <v>0</v>
      </c>
    </row>
    <row r="50" spans="2:9" ht="15" customHeight="1" x14ac:dyDescent="0.2">
      <c r="B50" t="s">
        <v>176</v>
      </c>
      <c r="C50" s="12">
        <v>18</v>
      </c>
      <c r="D50" s="8">
        <v>2.9</v>
      </c>
      <c r="E50" s="12">
        <v>15</v>
      </c>
      <c r="F50" s="8">
        <v>4.95</v>
      </c>
      <c r="G50" s="12">
        <v>3</v>
      </c>
      <c r="H50" s="8">
        <v>0.96</v>
      </c>
      <c r="I50" s="12">
        <v>0</v>
      </c>
    </row>
    <row r="51" spans="2:9" ht="15" customHeight="1" x14ac:dyDescent="0.2">
      <c r="B51" t="s">
        <v>182</v>
      </c>
      <c r="C51" s="12">
        <v>17</v>
      </c>
      <c r="D51" s="8">
        <v>2.74</v>
      </c>
      <c r="E51" s="12">
        <v>10</v>
      </c>
      <c r="F51" s="8">
        <v>3.3</v>
      </c>
      <c r="G51" s="12">
        <v>7</v>
      </c>
      <c r="H51" s="8">
        <v>2.23</v>
      </c>
      <c r="I51" s="12">
        <v>0</v>
      </c>
    </row>
    <row r="52" spans="2:9" ht="15" customHeight="1" x14ac:dyDescent="0.2">
      <c r="B52" t="s">
        <v>163</v>
      </c>
      <c r="C52" s="12">
        <v>16</v>
      </c>
      <c r="D52" s="8">
        <v>2.58</v>
      </c>
      <c r="E52" s="12">
        <v>4</v>
      </c>
      <c r="F52" s="8">
        <v>1.32</v>
      </c>
      <c r="G52" s="12">
        <v>12</v>
      </c>
      <c r="H52" s="8">
        <v>3.82</v>
      </c>
      <c r="I52" s="12">
        <v>0</v>
      </c>
    </row>
    <row r="53" spans="2:9" ht="15" customHeight="1" x14ac:dyDescent="0.2">
      <c r="B53" t="s">
        <v>158</v>
      </c>
      <c r="C53" s="12">
        <v>14</v>
      </c>
      <c r="D53" s="8">
        <v>2.2599999999999998</v>
      </c>
      <c r="E53" s="12">
        <v>7</v>
      </c>
      <c r="F53" s="8">
        <v>2.31</v>
      </c>
      <c r="G53" s="12">
        <v>7</v>
      </c>
      <c r="H53" s="8">
        <v>2.23</v>
      </c>
      <c r="I53" s="12">
        <v>0</v>
      </c>
    </row>
    <row r="54" spans="2:9" ht="15" customHeight="1" x14ac:dyDescent="0.2">
      <c r="B54" t="s">
        <v>160</v>
      </c>
      <c r="C54" s="12">
        <v>14</v>
      </c>
      <c r="D54" s="8">
        <v>2.2599999999999998</v>
      </c>
      <c r="E54" s="12">
        <v>4</v>
      </c>
      <c r="F54" s="8">
        <v>1.32</v>
      </c>
      <c r="G54" s="12">
        <v>10</v>
      </c>
      <c r="H54" s="8">
        <v>3.18</v>
      </c>
      <c r="I54" s="12">
        <v>0</v>
      </c>
    </row>
    <row r="55" spans="2:9" ht="15" customHeight="1" x14ac:dyDescent="0.2">
      <c r="B55" t="s">
        <v>172</v>
      </c>
      <c r="C55" s="12">
        <v>13</v>
      </c>
      <c r="D55" s="8">
        <v>2.1</v>
      </c>
      <c r="E55" s="12">
        <v>11</v>
      </c>
      <c r="F55" s="8">
        <v>3.63</v>
      </c>
      <c r="G55" s="12">
        <v>2</v>
      </c>
      <c r="H55" s="8">
        <v>0.64</v>
      </c>
      <c r="I55" s="12">
        <v>0</v>
      </c>
    </row>
    <row r="56" spans="2:9" ht="15" customHeight="1" x14ac:dyDescent="0.2">
      <c r="B56" t="s">
        <v>210</v>
      </c>
      <c r="C56" s="12">
        <v>12</v>
      </c>
      <c r="D56" s="8">
        <v>1.94</v>
      </c>
      <c r="E56" s="12">
        <v>6</v>
      </c>
      <c r="F56" s="8">
        <v>1.98</v>
      </c>
      <c r="G56" s="12">
        <v>6</v>
      </c>
      <c r="H56" s="8">
        <v>1.91</v>
      </c>
      <c r="I56" s="12">
        <v>0</v>
      </c>
    </row>
    <row r="57" spans="2:9" ht="15" customHeight="1" x14ac:dyDescent="0.2">
      <c r="B57" t="s">
        <v>200</v>
      </c>
      <c r="C57" s="12">
        <v>12</v>
      </c>
      <c r="D57" s="8">
        <v>1.94</v>
      </c>
      <c r="E57" s="12">
        <v>2</v>
      </c>
      <c r="F57" s="8">
        <v>0.66</v>
      </c>
      <c r="G57" s="12">
        <v>10</v>
      </c>
      <c r="H57" s="8">
        <v>3.18</v>
      </c>
      <c r="I57" s="12">
        <v>0</v>
      </c>
    </row>
    <row r="58" spans="2:9" ht="15" customHeight="1" x14ac:dyDescent="0.2">
      <c r="B58" t="s">
        <v>166</v>
      </c>
      <c r="C58" s="12">
        <v>12</v>
      </c>
      <c r="D58" s="8">
        <v>1.94</v>
      </c>
      <c r="E58" s="12">
        <v>7</v>
      </c>
      <c r="F58" s="8">
        <v>2.31</v>
      </c>
      <c r="G58" s="12">
        <v>5</v>
      </c>
      <c r="H58" s="8">
        <v>1.59</v>
      </c>
      <c r="I58" s="12">
        <v>0</v>
      </c>
    </row>
    <row r="59" spans="2:9" ht="15" customHeight="1" x14ac:dyDescent="0.2">
      <c r="B59" t="s">
        <v>170</v>
      </c>
      <c r="C59" s="12">
        <v>11</v>
      </c>
      <c r="D59" s="8">
        <v>1.77</v>
      </c>
      <c r="E59" s="12">
        <v>7</v>
      </c>
      <c r="F59" s="8">
        <v>2.31</v>
      </c>
      <c r="G59" s="12">
        <v>4</v>
      </c>
      <c r="H59" s="8">
        <v>1.27</v>
      </c>
      <c r="I59" s="12">
        <v>0</v>
      </c>
    </row>
    <row r="60" spans="2:9" ht="15" customHeight="1" x14ac:dyDescent="0.2">
      <c r="B60" t="s">
        <v>157</v>
      </c>
      <c r="C60" s="12">
        <v>10</v>
      </c>
      <c r="D60" s="8">
        <v>1.61</v>
      </c>
      <c r="E60" s="12">
        <v>1</v>
      </c>
      <c r="F60" s="8">
        <v>0.33</v>
      </c>
      <c r="G60" s="12">
        <v>9</v>
      </c>
      <c r="H60" s="8">
        <v>2.87</v>
      </c>
      <c r="I60" s="12">
        <v>0</v>
      </c>
    </row>
    <row r="61" spans="2:9" ht="15" customHeight="1" x14ac:dyDescent="0.2">
      <c r="B61" t="s">
        <v>159</v>
      </c>
      <c r="C61" s="12">
        <v>10</v>
      </c>
      <c r="D61" s="8">
        <v>1.61</v>
      </c>
      <c r="E61" s="12">
        <v>4</v>
      </c>
      <c r="F61" s="8">
        <v>1.32</v>
      </c>
      <c r="G61" s="12">
        <v>6</v>
      </c>
      <c r="H61" s="8">
        <v>1.91</v>
      </c>
      <c r="I61" s="12">
        <v>0</v>
      </c>
    </row>
    <row r="62" spans="2:9" ht="15" customHeight="1" x14ac:dyDescent="0.2">
      <c r="B62" t="s">
        <v>189</v>
      </c>
      <c r="C62" s="12">
        <v>10</v>
      </c>
      <c r="D62" s="8">
        <v>1.61</v>
      </c>
      <c r="E62" s="12">
        <v>10</v>
      </c>
      <c r="F62" s="8">
        <v>3.3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174</v>
      </c>
      <c r="C63" s="12">
        <v>10</v>
      </c>
      <c r="D63" s="8">
        <v>1.61</v>
      </c>
      <c r="E63" s="12">
        <v>10</v>
      </c>
      <c r="F63" s="8">
        <v>3.3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229</v>
      </c>
      <c r="C64" s="12">
        <v>9</v>
      </c>
      <c r="D64" s="8">
        <v>1.45</v>
      </c>
      <c r="E64" s="12">
        <v>6</v>
      </c>
      <c r="F64" s="8">
        <v>1.98</v>
      </c>
      <c r="G64" s="12">
        <v>3</v>
      </c>
      <c r="H64" s="8">
        <v>0.96</v>
      </c>
      <c r="I64" s="12">
        <v>0</v>
      </c>
    </row>
    <row r="65" spans="2:9" ht="15" customHeight="1" x14ac:dyDescent="0.2">
      <c r="B65" t="s">
        <v>216</v>
      </c>
      <c r="C65" s="12">
        <v>8</v>
      </c>
      <c r="D65" s="8">
        <v>1.29</v>
      </c>
      <c r="E65" s="12">
        <v>2</v>
      </c>
      <c r="F65" s="8">
        <v>0.66</v>
      </c>
      <c r="G65" s="12">
        <v>6</v>
      </c>
      <c r="H65" s="8">
        <v>1.91</v>
      </c>
      <c r="I65" s="12">
        <v>0</v>
      </c>
    </row>
    <row r="66" spans="2:9" ht="15" customHeight="1" x14ac:dyDescent="0.2">
      <c r="B66" t="s">
        <v>180</v>
      </c>
      <c r="C66" s="12">
        <v>8</v>
      </c>
      <c r="D66" s="8">
        <v>1.29</v>
      </c>
      <c r="E66" s="12">
        <v>1</v>
      </c>
      <c r="F66" s="8">
        <v>0.33</v>
      </c>
      <c r="G66" s="12">
        <v>7</v>
      </c>
      <c r="H66" s="8">
        <v>2.23</v>
      </c>
      <c r="I66" s="12">
        <v>0</v>
      </c>
    </row>
    <row r="68" spans="2:9" ht="15" customHeight="1" x14ac:dyDescent="0.2">
      <c r="B68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B2EC6-FC52-45B9-97D0-D91A9FCCCD38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275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298</v>
      </c>
      <c r="D6" s="8">
        <v>13.3</v>
      </c>
      <c r="E6" s="12">
        <v>29</v>
      </c>
      <c r="F6" s="8">
        <v>3.55</v>
      </c>
      <c r="G6" s="12">
        <v>269</v>
      </c>
      <c r="H6" s="8">
        <v>18.98</v>
      </c>
      <c r="I6" s="12">
        <v>0</v>
      </c>
    </row>
    <row r="7" spans="2:9" ht="15" customHeight="1" x14ac:dyDescent="0.2">
      <c r="B7" t="s">
        <v>76</v>
      </c>
      <c r="C7" s="12">
        <v>98</v>
      </c>
      <c r="D7" s="8">
        <v>4.37</v>
      </c>
      <c r="E7" s="12">
        <v>15</v>
      </c>
      <c r="F7" s="8">
        <v>1.84</v>
      </c>
      <c r="G7" s="12">
        <v>83</v>
      </c>
      <c r="H7" s="8">
        <v>5.86</v>
      </c>
      <c r="I7" s="12">
        <v>0</v>
      </c>
    </row>
    <row r="8" spans="2:9" ht="15" customHeight="1" x14ac:dyDescent="0.2">
      <c r="B8" t="s">
        <v>77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7.0000000000000007E-2</v>
      </c>
      <c r="I8" s="12">
        <v>0</v>
      </c>
    </row>
    <row r="9" spans="2:9" ht="15" customHeight="1" x14ac:dyDescent="0.2">
      <c r="B9" t="s">
        <v>78</v>
      </c>
      <c r="C9" s="12">
        <v>37</v>
      </c>
      <c r="D9" s="8">
        <v>1.65</v>
      </c>
      <c r="E9" s="12">
        <v>2</v>
      </c>
      <c r="F9" s="8">
        <v>0.24</v>
      </c>
      <c r="G9" s="12">
        <v>35</v>
      </c>
      <c r="H9" s="8">
        <v>2.4700000000000002</v>
      </c>
      <c r="I9" s="12">
        <v>0</v>
      </c>
    </row>
    <row r="10" spans="2:9" ht="15" customHeight="1" x14ac:dyDescent="0.2">
      <c r="B10" t="s">
        <v>79</v>
      </c>
      <c r="C10" s="12">
        <v>26</v>
      </c>
      <c r="D10" s="8">
        <v>1.1599999999999999</v>
      </c>
      <c r="E10" s="12">
        <v>2</v>
      </c>
      <c r="F10" s="8">
        <v>0.24</v>
      </c>
      <c r="G10" s="12">
        <v>24</v>
      </c>
      <c r="H10" s="8">
        <v>1.69</v>
      </c>
      <c r="I10" s="12">
        <v>0</v>
      </c>
    </row>
    <row r="11" spans="2:9" ht="15" customHeight="1" x14ac:dyDescent="0.2">
      <c r="B11" t="s">
        <v>80</v>
      </c>
      <c r="C11" s="12">
        <v>496</v>
      </c>
      <c r="D11" s="8">
        <v>22.13</v>
      </c>
      <c r="E11" s="12">
        <v>122</v>
      </c>
      <c r="F11" s="8">
        <v>14.93</v>
      </c>
      <c r="G11" s="12">
        <v>374</v>
      </c>
      <c r="H11" s="8">
        <v>26.39</v>
      </c>
      <c r="I11" s="12">
        <v>0</v>
      </c>
    </row>
    <row r="12" spans="2:9" ht="15" customHeight="1" x14ac:dyDescent="0.2">
      <c r="B12" t="s">
        <v>81</v>
      </c>
      <c r="C12" s="12">
        <v>13</v>
      </c>
      <c r="D12" s="8">
        <v>0.57999999999999996</v>
      </c>
      <c r="E12" s="12">
        <v>0</v>
      </c>
      <c r="F12" s="8">
        <v>0</v>
      </c>
      <c r="G12" s="12">
        <v>13</v>
      </c>
      <c r="H12" s="8">
        <v>0.92</v>
      </c>
      <c r="I12" s="12">
        <v>0</v>
      </c>
    </row>
    <row r="13" spans="2:9" ht="15" customHeight="1" x14ac:dyDescent="0.2">
      <c r="B13" t="s">
        <v>82</v>
      </c>
      <c r="C13" s="12">
        <v>319</v>
      </c>
      <c r="D13" s="8">
        <v>14.23</v>
      </c>
      <c r="E13" s="12">
        <v>72</v>
      </c>
      <c r="F13" s="8">
        <v>8.81</v>
      </c>
      <c r="G13" s="12">
        <v>246</v>
      </c>
      <c r="H13" s="8">
        <v>17.36</v>
      </c>
      <c r="I13" s="12">
        <v>0</v>
      </c>
    </row>
    <row r="14" spans="2:9" ht="15" customHeight="1" x14ac:dyDescent="0.2">
      <c r="B14" t="s">
        <v>83</v>
      </c>
      <c r="C14" s="12">
        <v>149</v>
      </c>
      <c r="D14" s="8">
        <v>6.65</v>
      </c>
      <c r="E14" s="12">
        <v>65</v>
      </c>
      <c r="F14" s="8">
        <v>7.96</v>
      </c>
      <c r="G14" s="12">
        <v>83</v>
      </c>
      <c r="H14" s="8">
        <v>5.86</v>
      </c>
      <c r="I14" s="12">
        <v>0</v>
      </c>
    </row>
    <row r="15" spans="2:9" ht="15" customHeight="1" x14ac:dyDescent="0.2">
      <c r="B15" t="s">
        <v>84</v>
      </c>
      <c r="C15" s="12">
        <v>203</v>
      </c>
      <c r="D15" s="8">
        <v>9.06</v>
      </c>
      <c r="E15" s="12">
        <v>146</v>
      </c>
      <c r="F15" s="8">
        <v>17.87</v>
      </c>
      <c r="G15" s="12">
        <v>57</v>
      </c>
      <c r="H15" s="8">
        <v>4.0199999999999996</v>
      </c>
      <c r="I15" s="12">
        <v>0</v>
      </c>
    </row>
    <row r="16" spans="2:9" ht="15" customHeight="1" x14ac:dyDescent="0.2">
      <c r="B16" t="s">
        <v>85</v>
      </c>
      <c r="C16" s="12">
        <v>272</v>
      </c>
      <c r="D16" s="8">
        <v>12.14</v>
      </c>
      <c r="E16" s="12">
        <v>191</v>
      </c>
      <c r="F16" s="8">
        <v>23.38</v>
      </c>
      <c r="G16" s="12">
        <v>81</v>
      </c>
      <c r="H16" s="8">
        <v>5.72</v>
      </c>
      <c r="I16" s="12">
        <v>0</v>
      </c>
    </row>
    <row r="17" spans="2:9" ht="15" customHeight="1" x14ac:dyDescent="0.2">
      <c r="B17" t="s">
        <v>86</v>
      </c>
      <c r="C17" s="12">
        <v>109</v>
      </c>
      <c r="D17" s="8">
        <v>4.8600000000000003</v>
      </c>
      <c r="E17" s="12">
        <v>65</v>
      </c>
      <c r="F17" s="8">
        <v>7.96</v>
      </c>
      <c r="G17" s="12">
        <v>41</v>
      </c>
      <c r="H17" s="8">
        <v>2.89</v>
      </c>
      <c r="I17" s="12">
        <v>0</v>
      </c>
    </row>
    <row r="18" spans="2:9" ht="15" customHeight="1" x14ac:dyDescent="0.2">
      <c r="B18" t="s">
        <v>87</v>
      </c>
      <c r="C18" s="12">
        <v>137</v>
      </c>
      <c r="D18" s="8">
        <v>6.11</v>
      </c>
      <c r="E18" s="12">
        <v>90</v>
      </c>
      <c r="F18" s="8">
        <v>11.02</v>
      </c>
      <c r="G18" s="12">
        <v>47</v>
      </c>
      <c r="H18" s="8">
        <v>3.32</v>
      </c>
      <c r="I18" s="12">
        <v>0</v>
      </c>
    </row>
    <row r="19" spans="2:9" ht="15" customHeight="1" x14ac:dyDescent="0.2">
      <c r="B19" t="s">
        <v>88</v>
      </c>
      <c r="C19" s="12">
        <v>83</v>
      </c>
      <c r="D19" s="8">
        <v>3.7</v>
      </c>
      <c r="E19" s="12">
        <v>18</v>
      </c>
      <c r="F19" s="8">
        <v>2.2000000000000002</v>
      </c>
      <c r="G19" s="12">
        <v>63</v>
      </c>
      <c r="H19" s="8">
        <v>4.45</v>
      </c>
      <c r="I19" s="12">
        <v>2</v>
      </c>
    </row>
    <row r="20" spans="2:9" ht="15" customHeight="1" x14ac:dyDescent="0.2">
      <c r="B20" s="9" t="s">
        <v>269</v>
      </c>
      <c r="C20" s="12">
        <f>SUM(LTBL_11102[総数／事業所数])</f>
        <v>2241</v>
      </c>
      <c r="E20" s="12">
        <f>SUBTOTAL(109,LTBL_11102[個人／事業所数])</f>
        <v>817</v>
      </c>
      <c r="G20" s="12">
        <f>SUBTOTAL(109,LTBL_11102[法人／事業所数])</f>
        <v>1417</v>
      </c>
      <c r="I20" s="12">
        <f>SUBTOTAL(109,LTBL_11102[法人以外の団体／事業所数])</f>
        <v>2</v>
      </c>
    </row>
    <row r="21" spans="2:9" ht="15" customHeight="1" x14ac:dyDescent="0.2">
      <c r="E21" s="11">
        <f>LTBL_11102[[#Totals],[個人／事業所数]]/LTBL_11102[[#Totals],[総数／事業所数]]</f>
        <v>0.36456938866577421</v>
      </c>
      <c r="G21" s="11">
        <f>LTBL_11102[[#Totals],[法人／事業所数]]/LTBL_11102[[#Totals],[総数／事業所数]]</f>
        <v>0.63230700580098176</v>
      </c>
      <c r="I21" s="11">
        <f>LTBL_11102[[#Totals],[法人以外の団体／事業所数]]/LTBL_11102[[#Totals],[総数／事業所数]]</f>
        <v>8.9245872378402495E-4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108</v>
      </c>
      <c r="C24" s="12">
        <v>253</v>
      </c>
      <c r="D24" s="8">
        <v>11.29</v>
      </c>
      <c r="E24" s="12">
        <v>69</v>
      </c>
      <c r="F24" s="8">
        <v>8.4499999999999993</v>
      </c>
      <c r="G24" s="12">
        <v>183</v>
      </c>
      <c r="H24" s="8">
        <v>12.91</v>
      </c>
      <c r="I24" s="12">
        <v>0</v>
      </c>
    </row>
    <row r="25" spans="2:9" ht="15" customHeight="1" x14ac:dyDescent="0.2">
      <c r="B25" t="s">
        <v>112</v>
      </c>
      <c r="C25" s="12">
        <v>224</v>
      </c>
      <c r="D25" s="8">
        <v>10</v>
      </c>
      <c r="E25" s="12">
        <v>169</v>
      </c>
      <c r="F25" s="8">
        <v>20.69</v>
      </c>
      <c r="G25" s="12">
        <v>55</v>
      </c>
      <c r="H25" s="8">
        <v>3.88</v>
      </c>
      <c r="I25" s="12">
        <v>0</v>
      </c>
    </row>
    <row r="26" spans="2:9" ht="15" customHeight="1" x14ac:dyDescent="0.2">
      <c r="B26" t="s">
        <v>111</v>
      </c>
      <c r="C26" s="12">
        <v>183</v>
      </c>
      <c r="D26" s="8">
        <v>8.17</v>
      </c>
      <c r="E26" s="12">
        <v>145</v>
      </c>
      <c r="F26" s="8">
        <v>17.75</v>
      </c>
      <c r="G26" s="12">
        <v>38</v>
      </c>
      <c r="H26" s="8">
        <v>2.68</v>
      </c>
      <c r="I26" s="12">
        <v>0</v>
      </c>
    </row>
    <row r="27" spans="2:9" ht="15" customHeight="1" x14ac:dyDescent="0.2">
      <c r="B27" t="s">
        <v>97</v>
      </c>
      <c r="C27" s="12">
        <v>129</v>
      </c>
      <c r="D27" s="8">
        <v>5.76</v>
      </c>
      <c r="E27" s="12">
        <v>12</v>
      </c>
      <c r="F27" s="8">
        <v>1.47</v>
      </c>
      <c r="G27" s="12">
        <v>117</v>
      </c>
      <c r="H27" s="8">
        <v>8.26</v>
      </c>
      <c r="I27" s="12">
        <v>0</v>
      </c>
    </row>
    <row r="28" spans="2:9" ht="15" customHeight="1" x14ac:dyDescent="0.2">
      <c r="B28" t="s">
        <v>106</v>
      </c>
      <c r="C28" s="12">
        <v>121</v>
      </c>
      <c r="D28" s="8">
        <v>5.4</v>
      </c>
      <c r="E28" s="12">
        <v>48</v>
      </c>
      <c r="F28" s="8">
        <v>5.88</v>
      </c>
      <c r="G28" s="12">
        <v>73</v>
      </c>
      <c r="H28" s="8">
        <v>5.15</v>
      </c>
      <c r="I28" s="12">
        <v>0</v>
      </c>
    </row>
    <row r="29" spans="2:9" ht="15" customHeight="1" x14ac:dyDescent="0.2">
      <c r="B29" t="s">
        <v>114</v>
      </c>
      <c r="C29" s="12">
        <v>109</v>
      </c>
      <c r="D29" s="8">
        <v>4.8600000000000003</v>
      </c>
      <c r="E29" s="12">
        <v>65</v>
      </c>
      <c r="F29" s="8">
        <v>7.96</v>
      </c>
      <c r="G29" s="12">
        <v>41</v>
      </c>
      <c r="H29" s="8">
        <v>2.89</v>
      </c>
      <c r="I29" s="12">
        <v>0</v>
      </c>
    </row>
    <row r="30" spans="2:9" ht="15" customHeight="1" x14ac:dyDescent="0.2">
      <c r="B30" t="s">
        <v>115</v>
      </c>
      <c r="C30" s="12">
        <v>102</v>
      </c>
      <c r="D30" s="8">
        <v>4.55</v>
      </c>
      <c r="E30" s="12">
        <v>90</v>
      </c>
      <c r="F30" s="8">
        <v>11.02</v>
      </c>
      <c r="G30" s="12">
        <v>12</v>
      </c>
      <c r="H30" s="8">
        <v>0.85</v>
      </c>
      <c r="I30" s="12">
        <v>0</v>
      </c>
    </row>
    <row r="31" spans="2:9" ht="15" customHeight="1" x14ac:dyDescent="0.2">
      <c r="B31" t="s">
        <v>98</v>
      </c>
      <c r="C31" s="12">
        <v>85</v>
      </c>
      <c r="D31" s="8">
        <v>3.79</v>
      </c>
      <c r="E31" s="12">
        <v>13</v>
      </c>
      <c r="F31" s="8">
        <v>1.59</v>
      </c>
      <c r="G31" s="12">
        <v>72</v>
      </c>
      <c r="H31" s="8">
        <v>5.08</v>
      </c>
      <c r="I31" s="12">
        <v>0</v>
      </c>
    </row>
    <row r="32" spans="2:9" ht="15" customHeight="1" x14ac:dyDescent="0.2">
      <c r="B32" t="s">
        <v>99</v>
      </c>
      <c r="C32" s="12">
        <v>84</v>
      </c>
      <c r="D32" s="8">
        <v>3.75</v>
      </c>
      <c r="E32" s="12">
        <v>4</v>
      </c>
      <c r="F32" s="8">
        <v>0.49</v>
      </c>
      <c r="G32" s="12">
        <v>80</v>
      </c>
      <c r="H32" s="8">
        <v>5.65</v>
      </c>
      <c r="I32" s="12">
        <v>0</v>
      </c>
    </row>
    <row r="33" spans="2:9" ht="15" customHeight="1" x14ac:dyDescent="0.2">
      <c r="B33" t="s">
        <v>109</v>
      </c>
      <c r="C33" s="12">
        <v>84</v>
      </c>
      <c r="D33" s="8">
        <v>3.75</v>
      </c>
      <c r="E33" s="12">
        <v>49</v>
      </c>
      <c r="F33" s="8">
        <v>6</v>
      </c>
      <c r="G33" s="12">
        <v>35</v>
      </c>
      <c r="H33" s="8">
        <v>2.4700000000000002</v>
      </c>
      <c r="I33" s="12">
        <v>0</v>
      </c>
    </row>
    <row r="34" spans="2:9" ht="15" customHeight="1" x14ac:dyDescent="0.2">
      <c r="B34" t="s">
        <v>104</v>
      </c>
      <c r="C34" s="12">
        <v>67</v>
      </c>
      <c r="D34" s="8">
        <v>2.99</v>
      </c>
      <c r="E34" s="12">
        <v>34</v>
      </c>
      <c r="F34" s="8">
        <v>4.16</v>
      </c>
      <c r="G34" s="12">
        <v>33</v>
      </c>
      <c r="H34" s="8">
        <v>2.33</v>
      </c>
      <c r="I34" s="12">
        <v>0</v>
      </c>
    </row>
    <row r="35" spans="2:9" ht="15" customHeight="1" x14ac:dyDescent="0.2">
      <c r="B35" t="s">
        <v>121</v>
      </c>
      <c r="C35" s="12">
        <v>66</v>
      </c>
      <c r="D35" s="8">
        <v>2.95</v>
      </c>
      <c r="E35" s="12">
        <v>4</v>
      </c>
      <c r="F35" s="8">
        <v>0.49</v>
      </c>
      <c r="G35" s="12">
        <v>62</v>
      </c>
      <c r="H35" s="8">
        <v>4.38</v>
      </c>
      <c r="I35" s="12">
        <v>0</v>
      </c>
    </row>
    <row r="36" spans="2:9" ht="15" customHeight="1" x14ac:dyDescent="0.2">
      <c r="B36" t="s">
        <v>110</v>
      </c>
      <c r="C36" s="12">
        <v>60</v>
      </c>
      <c r="D36" s="8">
        <v>2.68</v>
      </c>
      <c r="E36" s="12">
        <v>16</v>
      </c>
      <c r="F36" s="8">
        <v>1.96</v>
      </c>
      <c r="G36" s="12">
        <v>43</v>
      </c>
      <c r="H36" s="8">
        <v>3.03</v>
      </c>
      <c r="I36" s="12">
        <v>0</v>
      </c>
    </row>
    <row r="37" spans="2:9" ht="15" customHeight="1" x14ac:dyDescent="0.2">
      <c r="B37" t="s">
        <v>102</v>
      </c>
      <c r="C37" s="12">
        <v>53</v>
      </c>
      <c r="D37" s="8">
        <v>2.37</v>
      </c>
      <c r="E37" s="12">
        <v>1</v>
      </c>
      <c r="F37" s="8">
        <v>0.12</v>
      </c>
      <c r="G37" s="12">
        <v>52</v>
      </c>
      <c r="H37" s="8">
        <v>3.67</v>
      </c>
      <c r="I37" s="12">
        <v>0</v>
      </c>
    </row>
    <row r="38" spans="2:9" ht="15" customHeight="1" x14ac:dyDescent="0.2">
      <c r="B38" t="s">
        <v>107</v>
      </c>
      <c r="C38" s="12">
        <v>53</v>
      </c>
      <c r="D38" s="8">
        <v>2.37</v>
      </c>
      <c r="E38" s="12">
        <v>2</v>
      </c>
      <c r="F38" s="8">
        <v>0.24</v>
      </c>
      <c r="G38" s="12">
        <v>51</v>
      </c>
      <c r="H38" s="8">
        <v>3.6</v>
      </c>
      <c r="I38" s="12">
        <v>0</v>
      </c>
    </row>
    <row r="39" spans="2:9" ht="15" customHeight="1" x14ac:dyDescent="0.2">
      <c r="B39" t="s">
        <v>117</v>
      </c>
      <c r="C39" s="12">
        <v>47</v>
      </c>
      <c r="D39" s="8">
        <v>2.1</v>
      </c>
      <c r="E39" s="12">
        <v>2</v>
      </c>
      <c r="F39" s="8">
        <v>0.24</v>
      </c>
      <c r="G39" s="12">
        <v>45</v>
      </c>
      <c r="H39" s="8">
        <v>3.18</v>
      </c>
      <c r="I39" s="12">
        <v>0</v>
      </c>
    </row>
    <row r="40" spans="2:9" ht="15" customHeight="1" x14ac:dyDescent="0.2">
      <c r="B40" t="s">
        <v>103</v>
      </c>
      <c r="C40" s="12">
        <v>40</v>
      </c>
      <c r="D40" s="8">
        <v>1.78</v>
      </c>
      <c r="E40" s="12">
        <v>18</v>
      </c>
      <c r="F40" s="8">
        <v>2.2000000000000002</v>
      </c>
      <c r="G40" s="12">
        <v>22</v>
      </c>
      <c r="H40" s="8">
        <v>1.55</v>
      </c>
      <c r="I40" s="12">
        <v>0</v>
      </c>
    </row>
    <row r="41" spans="2:9" ht="15" customHeight="1" x14ac:dyDescent="0.2">
      <c r="B41" t="s">
        <v>105</v>
      </c>
      <c r="C41" s="12">
        <v>37</v>
      </c>
      <c r="D41" s="8">
        <v>1.65</v>
      </c>
      <c r="E41" s="12">
        <v>13</v>
      </c>
      <c r="F41" s="8">
        <v>1.59</v>
      </c>
      <c r="G41" s="12">
        <v>24</v>
      </c>
      <c r="H41" s="8">
        <v>1.69</v>
      </c>
      <c r="I41" s="12">
        <v>0</v>
      </c>
    </row>
    <row r="42" spans="2:9" ht="15" customHeight="1" x14ac:dyDescent="0.2">
      <c r="B42" t="s">
        <v>118</v>
      </c>
      <c r="C42" s="12">
        <v>35</v>
      </c>
      <c r="D42" s="8">
        <v>1.56</v>
      </c>
      <c r="E42" s="12">
        <v>0</v>
      </c>
      <c r="F42" s="8">
        <v>0</v>
      </c>
      <c r="G42" s="12">
        <v>35</v>
      </c>
      <c r="H42" s="8">
        <v>2.4700000000000002</v>
      </c>
      <c r="I42" s="12">
        <v>0</v>
      </c>
    </row>
    <row r="43" spans="2:9" ht="15" customHeight="1" x14ac:dyDescent="0.2">
      <c r="B43" t="s">
        <v>113</v>
      </c>
      <c r="C43" s="12">
        <v>33</v>
      </c>
      <c r="D43" s="8">
        <v>1.47</v>
      </c>
      <c r="E43" s="12">
        <v>16</v>
      </c>
      <c r="F43" s="8">
        <v>1.96</v>
      </c>
      <c r="G43" s="12">
        <v>17</v>
      </c>
      <c r="H43" s="8">
        <v>1.2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167</v>
      </c>
      <c r="C47" s="12">
        <v>123</v>
      </c>
      <c r="D47" s="8">
        <v>5.49</v>
      </c>
      <c r="E47" s="12">
        <v>49</v>
      </c>
      <c r="F47" s="8">
        <v>6</v>
      </c>
      <c r="G47" s="12">
        <v>74</v>
      </c>
      <c r="H47" s="8">
        <v>5.22</v>
      </c>
      <c r="I47" s="12">
        <v>0</v>
      </c>
    </row>
    <row r="48" spans="2:9" ht="15" customHeight="1" x14ac:dyDescent="0.2">
      <c r="B48" t="s">
        <v>173</v>
      </c>
      <c r="C48" s="12">
        <v>105</v>
      </c>
      <c r="D48" s="8">
        <v>4.6900000000000004</v>
      </c>
      <c r="E48" s="12">
        <v>82</v>
      </c>
      <c r="F48" s="8">
        <v>10.039999999999999</v>
      </c>
      <c r="G48" s="12">
        <v>23</v>
      </c>
      <c r="H48" s="8">
        <v>1.62</v>
      </c>
      <c r="I48" s="12">
        <v>0</v>
      </c>
    </row>
    <row r="49" spans="2:9" ht="15" customHeight="1" x14ac:dyDescent="0.2">
      <c r="B49" t="s">
        <v>175</v>
      </c>
      <c r="C49" s="12">
        <v>75</v>
      </c>
      <c r="D49" s="8">
        <v>3.35</v>
      </c>
      <c r="E49" s="12">
        <v>67</v>
      </c>
      <c r="F49" s="8">
        <v>8.1999999999999993</v>
      </c>
      <c r="G49" s="12">
        <v>8</v>
      </c>
      <c r="H49" s="8">
        <v>0.56000000000000005</v>
      </c>
      <c r="I49" s="12">
        <v>0</v>
      </c>
    </row>
    <row r="50" spans="2:9" ht="15" customHeight="1" x14ac:dyDescent="0.2">
      <c r="B50" t="s">
        <v>172</v>
      </c>
      <c r="C50" s="12">
        <v>71</v>
      </c>
      <c r="D50" s="8">
        <v>3.17</v>
      </c>
      <c r="E50" s="12">
        <v>65</v>
      </c>
      <c r="F50" s="8">
        <v>7.96</v>
      </c>
      <c r="G50" s="12">
        <v>6</v>
      </c>
      <c r="H50" s="8">
        <v>0.42</v>
      </c>
      <c r="I50" s="12">
        <v>0</v>
      </c>
    </row>
    <row r="51" spans="2:9" ht="15" customHeight="1" x14ac:dyDescent="0.2">
      <c r="B51" t="s">
        <v>174</v>
      </c>
      <c r="C51" s="12">
        <v>67</v>
      </c>
      <c r="D51" s="8">
        <v>2.99</v>
      </c>
      <c r="E51" s="12">
        <v>51</v>
      </c>
      <c r="F51" s="8">
        <v>6.24</v>
      </c>
      <c r="G51" s="12">
        <v>16</v>
      </c>
      <c r="H51" s="8">
        <v>1.1299999999999999</v>
      </c>
      <c r="I51" s="12">
        <v>0</v>
      </c>
    </row>
    <row r="52" spans="2:9" ht="15" customHeight="1" x14ac:dyDescent="0.2">
      <c r="B52" t="s">
        <v>166</v>
      </c>
      <c r="C52" s="12">
        <v>61</v>
      </c>
      <c r="D52" s="8">
        <v>2.72</v>
      </c>
      <c r="E52" s="12">
        <v>10</v>
      </c>
      <c r="F52" s="8">
        <v>1.22</v>
      </c>
      <c r="G52" s="12">
        <v>51</v>
      </c>
      <c r="H52" s="8">
        <v>3.6</v>
      </c>
      <c r="I52" s="12">
        <v>0</v>
      </c>
    </row>
    <row r="53" spans="2:9" ht="15" customHeight="1" x14ac:dyDescent="0.2">
      <c r="B53" t="s">
        <v>168</v>
      </c>
      <c r="C53" s="12">
        <v>56</v>
      </c>
      <c r="D53" s="8">
        <v>2.5</v>
      </c>
      <c r="E53" s="12">
        <v>5</v>
      </c>
      <c r="F53" s="8">
        <v>0.61</v>
      </c>
      <c r="G53" s="12">
        <v>50</v>
      </c>
      <c r="H53" s="8">
        <v>3.53</v>
      </c>
      <c r="I53" s="12">
        <v>0</v>
      </c>
    </row>
    <row r="54" spans="2:9" ht="15" customHeight="1" x14ac:dyDescent="0.2">
      <c r="B54" t="s">
        <v>170</v>
      </c>
      <c r="C54" s="12">
        <v>52</v>
      </c>
      <c r="D54" s="8">
        <v>2.3199999999999998</v>
      </c>
      <c r="E54" s="12">
        <v>46</v>
      </c>
      <c r="F54" s="8">
        <v>5.63</v>
      </c>
      <c r="G54" s="12">
        <v>6</v>
      </c>
      <c r="H54" s="8">
        <v>0.42</v>
      </c>
      <c r="I54" s="12">
        <v>0</v>
      </c>
    </row>
    <row r="55" spans="2:9" ht="15" customHeight="1" x14ac:dyDescent="0.2">
      <c r="B55" t="s">
        <v>169</v>
      </c>
      <c r="C55" s="12">
        <v>48</v>
      </c>
      <c r="D55" s="8">
        <v>2.14</v>
      </c>
      <c r="E55" s="12">
        <v>38</v>
      </c>
      <c r="F55" s="8">
        <v>4.6500000000000004</v>
      </c>
      <c r="G55" s="12">
        <v>10</v>
      </c>
      <c r="H55" s="8">
        <v>0.71</v>
      </c>
      <c r="I55" s="12">
        <v>0</v>
      </c>
    </row>
    <row r="56" spans="2:9" ht="15" customHeight="1" x14ac:dyDescent="0.2">
      <c r="B56" t="s">
        <v>165</v>
      </c>
      <c r="C56" s="12">
        <v>42</v>
      </c>
      <c r="D56" s="8">
        <v>1.87</v>
      </c>
      <c r="E56" s="12">
        <v>2</v>
      </c>
      <c r="F56" s="8">
        <v>0.24</v>
      </c>
      <c r="G56" s="12">
        <v>40</v>
      </c>
      <c r="H56" s="8">
        <v>2.82</v>
      </c>
      <c r="I56" s="12">
        <v>0</v>
      </c>
    </row>
    <row r="57" spans="2:9" ht="15" customHeight="1" x14ac:dyDescent="0.2">
      <c r="B57" t="s">
        <v>164</v>
      </c>
      <c r="C57" s="12">
        <v>41</v>
      </c>
      <c r="D57" s="8">
        <v>1.83</v>
      </c>
      <c r="E57" s="12">
        <v>23</v>
      </c>
      <c r="F57" s="8">
        <v>2.82</v>
      </c>
      <c r="G57" s="12">
        <v>18</v>
      </c>
      <c r="H57" s="8">
        <v>1.27</v>
      </c>
      <c r="I57" s="12">
        <v>0</v>
      </c>
    </row>
    <row r="58" spans="2:9" ht="15" customHeight="1" x14ac:dyDescent="0.2">
      <c r="B58" t="s">
        <v>183</v>
      </c>
      <c r="C58" s="12">
        <v>40</v>
      </c>
      <c r="D58" s="8">
        <v>1.78</v>
      </c>
      <c r="E58" s="12">
        <v>3</v>
      </c>
      <c r="F58" s="8">
        <v>0.37</v>
      </c>
      <c r="G58" s="12">
        <v>37</v>
      </c>
      <c r="H58" s="8">
        <v>2.61</v>
      </c>
      <c r="I58" s="12">
        <v>0</v>
      </c>
    </row>
    <row r="59" spans="2:9" ht="15" customHeight="1" x14ac:dyDescent="0.2">
      <c r="B59" t="s">
        <v>178</v>
      </c>
      <c r="C59" s="12">
        <v>40</v>
      </c>
      <c r="D59" s="8">
        <v>1.78</v>
      </c>
      <c r="E59" s="12">
        <v>8</v>
      </c>
      <c r="F59" s="8">
        <v>0.98</v>
      </c>
      <c r="G59" s="12">
        <v>31</v>
      </c>
      <c r="H59" s="8">
        <v>2.19</v>
      </c>
      <c r="I59" s="12">
        <v>0</v>
      </c>
    </row>
    <row r="60" spans="2:9" ht="15" customHeight="1" x14ac:dyDescent="0.2">
      <c r="B60" t="s">
        <v>161</v>
      </c>
      <c r="C60" s="12">
        <v>36</v>
      </c>
      <c r="D60" s="8">
        <v>1.61</v>
      </c>
      <c r="E60" s="12">
        <v>2</v>
      </c>
      <c r="F60" s="8">
        <v>0.24</v>
      </c>
      <c r="G60" s="12">
        <v>34</v>
      </c>
      <c r="H60" s="8">
        <v>2.4</v>
      </c>
      <c r="I60" s="12">
        <v>0</v>
      </c>
    </row>
    <row r="61" spans="2:9" ht="15" customHeight="1" x14ac:dyDescent="0.2">
      <c r="B61" t="s">
        <v>171</v>
      </c>
      <c r="C61" s="12">
        <v>36</v>
      </c>
      <c r="D61" s="8">
        <v>1.61</v>
      </c>
      <c r="E61" s="12">
        <v>16</v>
      </c>
      <c r="F61" s="8">
        <v>1.96</v>
      </c>
      <c r="G61" s="12">
        <v>20</v>
      </c>
      <c r="H61" s="8">
        <v>1.41</v>
      </c>
      <c r="I61" s="12">
        <v>0</v>
      </c>
    </row>
    <row r="62" spans="2:9" ht="15" customHeight="1" x14ac:dyDescent="0.2">
      <c r="B62" t="s">
        <v>159</v>
      </c>
      <c r="C62" s="12">
        <v>35</v>
      </c>
      <c r="D62" s="8">
        <v>1.56</v>
      </c>
      <c r="E62" s="12">
        <v>7</v>
      </c>
      <c r="F62" s="8">
        <v>0.86</v>
      </c>
      <c r="G62" s="12">
        <v>28</v>
      </c>
      <c r="H62" s="8">
        <v>1.98</v>
      </c>
      <c r="I62" s="12">
        <v>0</v>
      </c>
    </row>
    <row r="63" spans="2:9" ht="15" customHeight="1" x14ac:dyDescent="0.2">
      <c r="B63" t="s">
        <v>177</v>
      </c>
      <c r="C63" s="12">
        <v>35</v>
      </c>
      <c r="D63" s="8">
        <v>1.56</v>
      </c>
      <c r="E63" s="12">
        <v>3</v>
      </c>
      <c r="F63" s="8">
        <v>0.37</v>
      </c>
      <c r="G63" s="12">
        <v>32</v>
      </c>
      <c r="H63" s="8">
        <v>2.2599999999999998</v>
      </c>
      <c r="I63" s="12">
        <v>0</v>
      </c>
    </row>
    <row r="64" spans="2:9" ht="15" customHeight="1" x14ac:dyDescent="0.2">
      <c r="B64" t="s">
        <v>158</v>
      </c>
      <c r="C64" s="12">
        <v>34</v>
      </c>
      <c r="D64" s="8">
        <v>1.52</v>
      </c>
      <c r="E64" s="12">
        <v>2</v>
      </c>
      <c r="F64" s="8">
        <v>0.24</v>
      </c>
      <c r="G64" s="12">
        <v>32</v>
      </c>
      <c r="H64" s="8">
        <v>2.2599999999999998</v>
      </c>
      <c r="I64" s="12">
        <v>0</v>
      </c>
    </row>
    <row r="65" spans="2:9" ht="15" customHeight="1" x14ac:dyDescent="0.2">
      <c r="B65" t="s">
        <v>179</v>
      </c>
      <c r="C65" s="12">
        <v>32</v>
      </c>
      <c r="D65" s="8">
        <v>1.43</v>
      </c>
      <c r="E65" s="12">
        <v>13</v>
      </c>
      <c r="F65" s="8">
        <v>1.59</v>
      </c>
      <c r="G65" s="12">
        <v>19</v>
      </c>
      <c r="H65" s="8">
        <v>1.34</v>
      </c>
      <c r="I65" s="12">
        <v>0</v>
      </c>
    </row>
    <row r="66" spans="2:9" ht="15" customHeight="1" x14ac:dyDescent="0.2">
      <c r="B66" t="s">
        <v>184</v>
      </c>
      <c r="C66" s="12">
        <v>30</v>
      </c>
      <c r="D66" s="8">
        <v>1.34</v>
      </c>
      <c r="E66" s="12">
        <v>1</v>
      </c>
      <c r="F66" s="8">
        <v>0.12</v>
      </c>
      <c r="G66" s="12">
        <v>29</v>
      </c>
      <c r="H66" s="8">
        <v>2.0499999999999998</v>
      </c>
      <c r="I66" s="12">
        <v>0</v>
      </c>
    </row>
    <row r="67" spans="2:9" ht="15" customHeight="1" x14ac:dyDescent="0.2">
      <c r="B67" t="s">
        <v>185</v>
      </c>
      <c r="C67" s="12">
        <v>30</v>
      </c>
      <c r="D67" s="8">
        <v>1.34</v>
      </c>
      <c r="E67" s="12">
        <v>8</v>
      </c>
      <c r="F67" s="8">
        <v>0.98</v>
      </c>
      <c r="G67" s="12">
        <v>22</v>
      </c>
      <c r="H67" s="8">
        <v>1.55</v>
      </c>
      <c r="I67" s="12">
        <v>0</v>
      </c>
    </row>
    <row r="69" spans="2:9" ht="15" customHeight="1" x14ac:dyDescent="0.2">
      <c r="B69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774D2-8F5B-4AA7-A482-AFDFED831830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276</v>
      </c>
    </row>
    <row r="4" spans="2:9" ht="33" customHeight="1" x14ac:dyDescent="0.2">
      <c r="B4" t="s">
        <v>268</v>
      </c>
      <c r="C4" s="10" t="s">
        <v>90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  <c r="I4" s="10" t="s">
        <v>96</v>
      </c>
    </row>
    <row r="5" spans="2:9" ht="15" customHeight="1" x14ac:dyDescent="0.2">
      <c r="B5" t="s">
        <v>74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75</v>
      </c>
      <c r="C6" s="12">
        <v>274</v>
      </c>
      <c r="D6" s="8">
        <v>9.1300000000000008</v>
      </c>
      <c r="E6" s="12">
        <v>15</v>
      </c>
      <c r="F6" s="8">
        <v>1.6</v>
      </c>
      <c r="G6" s="12">
        <v>259</v>
      </c>
      <c r="H6" s="8">
        <v>12.62</v>
      </c>
      <c r="I6" s="12">
        <v>0</v>
      </c>
    </row>
    <row r="7" spans="2:9" ht="15" customHeight="1" x14ac:dyDescent="0.2">
      <c r="B7" t="s">
        <v>76</v>
      </c>
      <c r="C7" s="12">
        <v>81</v>
      </c>
      <c r="D7" s="8">
        <v>2.7</v>
      </c>
      <c r="E7" s="12">
        <v>14</v>
      </c>
      <c r="F7" s="8">
        <v>1.49</v>
      </c>
      <c r="G7" s="12">
        <v>67</v>
      </c>
      <c r="H7" s="8">
        <v>3.27</v>
      </c>
      <c r="I7" s="12">
        <v>0</v>
      </c>
    </row>
    <row r="8" spans="2:9" ht="15" customHeight="1" x14ac:dyDescent="0.2">
      <c r="B8" t="s">
        <v>77</v>
      </c>
      <c r="C8" s="12">
        <v>5</v>
      </c>
      <c r="D8" s="8">
        <v>0.17</v>
      </c>
      <c r="E8" s="12">
        <v>0</v>
      </c>
      <c r="F8" s="8">
        <v>0</v>
      </c>
      <c r="G8" s="12">
        <v>5</v>
      </c>
      <c r="H8" s="8">
        <v>0.24</v>
      </c>
      <c r="I8" s="12">
        <v>0</v>
      </c>
    </row>
    <row r="9" spans="2:9" ht="15" customHeight="1" x14ac:dyDescent="0.2">
      <c r="B9" t="s">
        <v>78</v>
      </c>
      <c r="C9" s="12">
        <v>51</v>
      </c>
      <c r="D9" s="8">
        <v>1.7</v>
      </c>
      <c r="E9" s="12">
        <v>1</v>
      </c>
      <c r="F9" s="8">
        <v>0.11</v>
      </c>
      <c r="G9" s="12">
        <v>50</v>
      </c>
      <c r="H9" s="8">
        <v>2.44</v>
      </c>
      <c r="I9" s="12">
        <v>0</v>
      </c>
    </row>
    <row r="10" spans="2:9" ht="15" customHeight="1" x14ac:dyDescent="0.2">
      <c r="B10" t="s">
        <v>79</v>
      </c>
      <c r="C10" s="12">
        <v>21</v>
      </c>
      <c r="D10" s="8">
        <v>0.7</v>
      </c>
      <c r="E10" s="12">
        <v>1</v>
      </c>
      <c r="F10" s="8">
        <v>0.11</v>
      </c>
      <c r="G10" s="12">
        <v>20</v>
      </c>
      <c r="H10" s="8">
        <v>0.97</v>
      </c>
      <c r="I10" s="12">
        <v>0</v>
      </c>
    </row>
    <row r="11" spans="2:9" ht="15" customHeight="1" x14ac:dyDescent="0.2">
      <c r="B11" t="s">
        <v>80</v>
      </c>
      <c r="C11" s="12">
        <v>722</v>
      </c>
      <c r="D11" s="8">
        <v>24.07</v>
      </c>
      <c r="E11" s="12">
        <v>132</v>
      </c>
      <c r="F11" s="8">
        <v>14.07</v>
      </c>
      <c r="G11" s="12">
        <v>590</v>
      </c>
      <c r="H11" s="8">
        <v>28.75</v>
      </c>
      <c r="I11" s="12">
        <v>0</v>
      </c>
    </row>
    <row r="12" spans="2:9" ht="15" customHeight="1" x14ac:dyDescent="0.2">
      <c r="B12" t="s">
        <v>81</v>
      </c>
      <c r="C12" s="12">
        <v>42</v>
      </c>
      <c r="D12" s="8">
        <v>1.4</v>
      </c>
      <c r="E12" s="12">
        <v>1</v>
      </c>
      <c r="F12" s="8">
        <v>0.11</v>
      </c>
      <c r="G12" s="12">
        <v>41</v>
      </c>
      <c r="H12" s="8">
        <v>2</v>
      </c>
      <c r="I12" s="12">
        <v>0</v>
      </c>
    </row>
    <row r="13" spans="2:9" ht="15" customHeight="1" x14ac:dyDescent="0.2">
      <c r="B13" t="s">
        <v>82</v>
      </c>
      <c r="C13" s="12">
        <v>472</v>
      </c>
      <c r="D13" s="8">
        <v>15.73</v>
      </c>
      <c r="E13" s="12">
        <v>116</v>
      </c>
      <c r="F13" s="8">
        <v>12.37</v>
      </c>
      <c r="G13" s="12">
        <v>356</v>
      </c>
      <c r="H13" s="8">
        <v>17.350000000000001</v>
      </c>
      <c r="I13" s="12">
        <v>0</v>
      </c>
    </row>
    <row r="14" spans="2:9" ht="15" customHeight="1" x14ac:dyDescent="0.2">
      <c r="B14" t="s">
        <v>83</v>
      </c>
      <c r="C14" s="12">
        <v>265</v>
      </c>
      <c r="D14" s="8">
        <v>8.83</v>
      </c>
      <c r="E14" s="12">
        <v>88</v>
      </c>
      <c r="F14" s="8">
        <v>9.3800000000000008</v>
      </c>
      <c r="G14" s="12">
        <v>175</v>
      </c>
      <c r="H14" s="8">
        <v>8.5299999999999994</v>
      </c>
      <c r="I14" s="12">
        <v>1</v>
      </c>
    </row>
    <row r="15" spans="2:9" ht="15" customHeight="1" x14ac:dyDescent="0.2">
      <c r="B15" t="s">
        <v>84</v>
      </c>
      <c r="C15" s="12">
        <v>345</v>
      </c>
      <c r="D15" s="8">
        <v>11.5</v>
      </c>
      <c r="E15" s="12">
        <v>214</v>
      </c>
      <c r="F15" s="8">
        <v>22.81</v>
      </c>
      <c r="G15" s="12">
        <v>131</v>
      </c>
      <c r="H15" s="8">
        <v>6.38</v>
      </c>
      <c r="I15" s="12">
        <v>0</v>
      </c>
    </row>
    <row r="16" spans="2:9" ht="15" customHeight="1" x14ac:dyDescent="0.2">
      <c r="B16" t="s">
        <v>85</v>
      </c>
      <c r="C16" s="12">
        <v>310</v>
      </c>
      <c r="D16" s="8">
        <v>10.33</v>
      </c>
      <c r="E16" s="12">
        <v>180</v>
      </c>
      <c r="F16" s="8">
        <v>19.190000000000001</v>
      </c>
      <c r="G16" s="12">
        <v>130</v>
      </c>
      <c r="H16" s="8">
        <v>6.34</v>
      </c>
      <c r="I16" s="12">
        <v>0</v>
      </c>
    </row>
    <row r="17" spans="2:9" ht="15" customHeight="1" x14ac:dyDescent="0.2">
      <c r="B17" t="s">
        <v>86</v>
      </c>
      <c r="C17" s="12">
        <v>136</v>
      </c>
      <c r="D17" s="8">
        <v>4.53</v>
      </c>
      <c r="E17" s="12">
        <v>65</v>
      </c>
      <c r="F17" s="8">
        <v>6.93</v>
      </c>
      <c r="G17" s="12">
        <v>65</v>
      </c>
      <c r="H17" s="8">
        <v>3.17</v>
      </c>
      <c r="I17" s="12">
        <v>0</v>
      </c>
    </row>
    <row r="18" spans="2:9" ht="15" customHeight="1" x14ac:dyDescent="0.2">
      <c r="B18" t="s">
        <v>87</v>
      </c>
      <c r="C18" s="12">
        <v>167</v>
      </c>
      <c r="D18" s="8">
        <v>5.57</v>
      </c>
      <c r="E18" s="12">
        <v>104</v>
      </c>
      <c r="F18" s="8">
        <v>11.09</v>
      </c>
      <c r="G18" s="12">
        <v>63</v>
      </c>
      <c r="H18" s="8">
        <v>3.07</v>
      </c>
      <c r="I18" s="12">
        <v>0</v>
      </c>
    </row>
    <row r="19" spans="2:9" ht="15" customHeight="1" x14ac:dyDescent="0.2">
      <c r="B19" t="s">
        <v>88</v>
      </c>
      <c r="C19" s="12">
        <v>109</v>
      </c>
      <c r="D19" s="8">
        <v>3.63</v>
      </c>
      <c r="E19" s="12">
        <v>7</v>
      </c>
      <c r="F19" s="8">
        <v>0.75</v>
      </c>
      <c r="G19" s="12">
        <v>100</v>
      </c>
      <c r="H19" s="8">
        <v>4.87</v>
      </c>
      <c r="I19" s="12">
        <v>2</v>
      </c>
    </row>
    <row r="20" spans="2:9" ht="15" customHeight="1" x14ac:dyDescent="0.2">
      <c r="B20" s="9" t="s">
        <v>269</v>
      </c>
      <c r="C20" s="12">
        <f>SUM(LTBL_11103[総数／事業所数])</f>
        <v>3000</v>
      </c>
      <c r="E20" s="12">
        <f>SUBTOTAL(109,LTBL_11103[個人／事業所数])</f>
        <v>938</v>
      </c>
      <c r="G20" s="12">
        <f>SUBTOTAL(109,LTBL_11103[法人／事業所数])</f>
        <v>2052</v>
      </c>
      <c r="I20" s="12">
        <f>SUBTOTAL(109,LTBL_11103[法人以外の団体／事業所数])</f>
        <v>3</v>
      </c>
    </row>
    <row r="21" spans="2:9" ht="15" customHeight="1" x14ac:dyDescent="0.2">
      <c r="E21" s="11">
        <f>LTBL_11103[[#Totals],[個人／事業所数]]/LTBL_11103[[#Totals],[総数／事業所数]]</f>
        <v>0.31266666666666665</v>
      </c>
      <c r="G21" s="11">
        <f>LTBL_11103[[#Totals],[法人／事業所数]]/LTBL_11103[[#Totals],[総数／事業所数]]</f>
        <v>0.68400000000000005</v>
      </c>
      <c r="I21" s="11">
        <f>LTBL_11103[[#Totals],[法人以外の団体／事業所数]]/LTBL_11103[[#Totals],[総数／事業所数]]</f>
        <v>1E-3</v>
      </c>
    </row>
    <row r="23" spans="2:9" ht="33" customHeight="1" x14ac:dyDescent="0.2">
      <c r="B23" t="s">
        <v>270</v>
      </c>
      <c r="C23" s="10" t="s">
        <v>90</v>
      </c>
      <c r="D23" s="10" t="s">
        <v>91</v>
      </c>
      <c r="E23" s="10" t="s">
        <v>92</v>
      </c>
      <c r="F23" s="10" t="s">
        <v>93</v>
      </c>
      <c r="G23" s="10" t="s">
        <v>94</v>
      </c>
      <c r="H23" s="10" t="s">
        <v>95</v>
      </c>
      <c r="I23" s="10" t="s">
        <v>96</v>
      </c>
    </row>
    <row r="24" spans="2:9" ht="15" customHeight="1" x14ac:dyDescent="0.2">
      <c r="B24" t="s">
        <v>108</v>
      </c>
      <c r="C24" s="12">
        <v>365</v>
      </c>
      <c r="D24" s="8">
        <v>12.17</v>
      </c>
      <c r="E24" s="12">
        <v>113</v>
      </c>
      <c r="F24" s="8">
        <v>12.05</v>
      </c>
      <c r="G24" s="12">
        <v>252</v>
      </c>
      <c r="H24" s="8">
        <v>12.28</v>
      </c>
      <c r="I24" s="12">
        <v>0</v>
      </c>
    </row>
    <row r="25" spans="2:9" ht="15" customHeight="1" x14ac:dyDescent="0.2">
      <c r="B25" t="s">
        <v>111</v>
      </c>
      <c r="C25" s="12">
        <v>320</v>
      </c>
      <c r="D25" s="8">
        <v>10.67</v>
      </c>
      <c r="E25" s="12">
        <v>211</v>
      </c>
      <c r="F25" s="8">
        <v>22.49</v>
      </c>
      <c r="G25" s="12">
        <v>109</v>
      </c>
      <c r="H25" s="8">
        <v>5.31</v>
      </c>
      <c r="I25" s="12">
        <v>0</v>
      </c>
    </row>
    <row r="26" spans="2:9" ht="15" customHeight="1" x14ac:dyDescent="0.2">
      <c r="B26" t="s">
        <v>112</v>
      </c>
      <c r="C26" s="12">
        <v>247</v>
      </c>
      <c r="D26" s="8">
        <v>8.23</v>
      </c>
      <c r="E26" s="12">
        <v>166</v>
      </c>
      <c r="F26" s="8">
        <v>17.7</v>
      </c>
      <c r="G26" s="12">
        <v>81</v>
      </c>
      <c r="H26" s="8">
        <v>3.95</v>
      </c>
      <c r="I26" s="12">
        <v>0</v>
      </c>
    </row>
    <row r="27" spans="2:9" ht="15" customHeight="1" x14ac:dyDescent="0.2">
      <c r="B27" t="s">
        <v>106</v>
      </c>
      <c r="C27" s="12">
        <v>198</v>
      </c>
      <c r="D27" s="8">
        <v>6.6</v>
      </c>
      <c r="E27" s="12">
        <v>69</v>
      </c>
      <c r="F27" s="8">
        <v>7.36</v>
      </c>
      <c r="G27" s="12">
        <v>129</v>
      </c>
      <c r="H27" s="8">
        <v>6.29</v>
      </c>
      <c r="I27" s="12">
        <v>0</v>
      </c>
    </row>
    <row r="28" spans="2:9" ht="15" customHeight="1" x14ac:dyDescent="0.2">
      <c r="B28" t="s">
        <v>109</v>
      </c>
      <c r="C28" s="12">
        <v>146</v>
      </c>
      <c r="D28" s="8">
        <v>4.87</v>
      </c>
      <c r="E28" s="12">
        <v>71</v>
      </c>
      <c r="F28" s="8">
        <v>7.57</v>
      </c>
      <c r="G28" s="12">
        <v>75</v>
      </c>
      <c r="H28" s="8">
        <v>3.65</v>
      </c>
      <c r="I28" s="12">
        <v>0</v>
      </c>
    </row>
    <row r="29" spans="2:9" ht="15" customHeight="1" x14ac:dyDescent="0.2">
      <c r="B29" t="s">
        <v>103</v>
      </c>
      <c r="C29" s="12">
        <v>136</v>
      </c>
      <c r="D29" s="8">
        <v>4.53</v>
      </c>
      <c r="E29" s="12">
        <v>15</v>
      </c>
      <c r="F29" s="8">
        <v>1.6</v>
      </c>
      <c r="G29" s="12">
        <v>121</v>
      </c>
      <c r="H29" s="8">
        <v>5.9</v>
      </c>
      <c r="I29" s="12">
        <v>0</v>
      </c>
    </row>
    <row r="30" spans="2:9" ht="15" customHeight="1" x14ac:dyDescent="0.2">
      <c r="B30" t="s">
        <v>114</v>
      </c>
      <c r="C30" s="12">
        <v>136</v>
      </c>
      <c r="D30" s="8">
        <v>4.53</v>
      </c>
      <c r="E30" s="12">
        <v>65</v>
      </c>
      <c r="F30" s="8">
        <v>6.93</v>
      </c>
      <c r="G30" s="12">
        <v>65</v>
      </c>
      <c r="H30" s="8">
        <v>3.17</v>
      </c>
      <c r="I30" s="12">
        <v>0</v>
      </c>
    </row>
    <row r="31" spans="2:9" ht="15" customHeight="1" x14ac:dyDescent="0.2">
      <c r="B31" t="s">
        <v>104</v>
      </c>
      <c r="C31" s="12">
        <v>131</v>
      </c>
      <c r="D31" s="8">
        <v>4.37</v>
      </c>
      <c r="E31" s="12">
        <v>27</v>
      </c>
      <c r="F31" s="8">
        <v>2.88</v>
      </c>
      <c r="G31" s="12">
        <v>104</v>
      </c>
      <c r="H31" s="8">
        <v>5.07</v>
      </c>
      <c r="I31" s="12">
        <v>0</v>
      </c>
    </row>
    <row r="32" spans="2:9" ht="15" customHeight="1" x14ac:dyDescent="0.2">
      <c r="B32" t="s">
        <v>115</v>
      </c>
      <c r="C32" s="12">
        <v>122</v>
      </c>
      <c r="D32" s="8">
        <v>4.07</v>
      </c>
      <c r="E32" s="12">
        <v>104</v>
      </c>
      <c r="F32" s="8">
        <v>11.09</v>
      </c>
      <c r="G32" s="12">
        <v>18</v>
      </c>
      <c r="H32" s="8">
        <v>0.88</v>
      </c>
      <c r="I32" s="12">
        <v>0</v>
      </c>
    </row>
    <row r="33" spans="2:9" ht="15" customHeight="1" x14ac:dyDescent="0.2">
      <c r="B33" t="s">
        <v>97</v>
      </c>
      <c r="C33" s="12">
        <v>111</v>
      </c>
      <c r="D33" s="8">
        <v>3.7</v>
      </c>
      <c r="E33" s="12">
        <v>4</v>
      </c>
      <c r="F33" s="8">
        <v>0.43</v>
      </c>
      <c r="G33" s="12">
        <v>107</v>
      </c>
      <c r="H33" s="8">
        <v>5.21</v>
      </c>
      <c r="I33" s="12">
        <v>0</v>
      </c>
    </row>
    <row r="34" spans="2:9" ht="15" customHeight="1" x14ac:dyDescent="0.2">
      <c r="B34" t="s">
        <v>110</v>
      </c>
      <c r="C34" s="12">
        <v>107</v>
      </c>
      <c r="D34" s="8">
        <v>3.57</v>
      </c>
      <c r="E34" s="12">
        <v>16</v>
      </c>
      <c r="F34" s="8">
        <v>1.71</v>
      </c>
      <c r="G34" s="12">
        <v>89</v>
      </c>
      <c r="H34" s="8">
        <v>4.34</v>
      </c>
      <c r="I34" s="12">
        <v>1</v>
      </c>
    </row>
    <row r="35" spans="2:9" ht="15" customHeight="1" x14ac:dyDescent="0.2">
      <c r="B35" t="s">
        <v>107</v>
      </c>
      <c r="C35" s="12">
        <v>95</v>
      </c>
      <c r="D35" s="8">
        <v>3.17</v>
      </c>
      <c r="E35" s="12">
        <v>2</v>
      </c>
      <c r="F35" s="8">
        <v>0.21</v>
      </c>
      <c r="G35" s="12">
        <v>93</v>
      </c>
      <c r="H35" s="8">
        <v>4.53</v>
      </c>
      <c r="I35" s="12">
        <v>0</v>
      </c>
    </row>
    <row r="36" spans="2:9" ht="15" customHeight="1" x14ac:dyDescent="0.2">
      <c r="B36" t="s">
        <v>98</v>
      </c>
      <c r="C36" s="12">
        <v>89</v>
      </c>
      <c r="D36" s="8">
        <v>2.97</v>
      </c>
      <c r="E36" s="12">
        <v>10</v>
      </c>
      <c r="F36" s="8">
        <v>1.07</v>
      </c>
      <c r="G36" s="12">
        <v>79</v>
      </c>
      <c r="H36" s="8">
        <v>3.85</v>
      </c>
      <c r="I36" s="12">
        <v>0</v>
      </c>
    </row>
    <row r="37" spans="2:9" ht="15" customHeight="1" x14ac:dyDescent="0.2">
      <c r="B37" t="s">
        <v>99</v>
      </c>
      <c r="C37" s="12">
        <v>74</v>
      </c>
      <c r="D37" s="8">
        <v>2.4700000000000002</v>
      </c>
      <c r="E37" s="12">
        <v>1</v>
      </c>
      <c r="F37" s="8">
        <v>0.11</v>
      </c>
      <c r="G37" s="12">
        <v>73</v>
      </c>
      <c r="H37" s="8">
        <v>3.56</v>
      </c>
      <c r="I37" s="12">
        <v>0</v>
      </c>
    </row>
    <row r="38" spans="2:9" ht="15" customHeight="1" x14ac:dyDescent="0.2">
      <c r="B38" t="s">
        <v>102</v>
      </c>
      <c r="C38" s="12">
        <v>72</v>
      </c>
      <c r="D38" s="8">
        <v>2.4</v>
      </c>
      <c r="E38" s="12">
        <v>1</v>
      </c>
      <c r="F38" s="8">
        <v>0.11</v>
      </c>
      <c r="G38" s="12">
        <v>71</v>
      </c>
      <c r="H38" s="8">
        <v>3.46</v>
      </c>
      <c r="I38" s="12">
        <v>0</v>
      </c>
    </row>
    <row r="39" spans="2:9" ht="15" customHeight="1" x14ac:dyDescent="0.2">
      <c r="B39" t="s">
        <v>119</v>
      </c>
      <c r="C39" s="12">
        <v>50</v>
      </c>
      <c r="D39" s="8">
        <v>1.67</v>
      </c>
      <c r="E39" s="12">
        <v>0</v>
      </c>
      <c r="F39" s="8">
        <v>0</v>
      </c>
      <c r="G39" s="12">
        <v>48</v>
      </c>
      <c r="H39" s="8">
        <v>2.34</v>
      </c>
      <c r="I39" s="12">
        <v>2</v>
      </c>
    </row>
    <row r="40" spans="2:9" ht="15" customHeight="1" x14ac:dyDescent="0.2">
      <c r="B40" t="s">
        <v>101</v>
      </c>
      <c r="C40" s="12">
        <v>47</v>
      </c>
      <c r="D40" s="8">
        <v>1.57</v>
      </c>
      <c r="E40" s="12">
        <v>2</v>
      </c>
      <c r="F40" s="8">
        <v>0.21</v>
      </c>
      <c r="G40" s="12">
        <v>45</v>
      </c>
      <c r="H40" s="8">
        <v>2.19</v>
      </c>
      <c r="I40" s="12">
        <v>0</v>
      </c>
    </row>
    <row r="41" spans="2:9" ht="15" customHeight="1" x14ac:dyDescent="0.2">
      <c r="B41" t="s">
        <v>105</v>
      </c>
      <c r="C41" s="12">
        <v>46</v>
      </c>
      <c r="D41" s="8">
        <v>1.53</v>
      </c>
      <c r="E41" s="12">
        <v>14</v>
      </c>
      <c r="F41" s="8">
        <v>1.49</v>
      </c>
      <c r="G41" s="12">
        <v>32</v>
      </c>
      <c r="H41" s="8">
        <v>1.56</v>
      </c>
      <c r="I41" s="12">
        <v>0</v>
      </c>
    </row>
    <row r="42" spans="2:9" ht="15" customHeight="1" x14ac:dyDescent="0.2">
      <c r="B42" t="s">
        <v>113</v>
      </c>
      <c r="C42" s="12">
        <v>45</v>
      </c>
      <c r="D42" s="8">
        <v>1.5</v>
      </c>
      <c r="E42" s="12">
        <v>8</v>
      </c>
      <c r="F42" s="8">
        <v>0.85</v>
      </c>
      <c r="G42" s="12">
        <v>37</v>
      </c>
      <c r="H42" s="8">
        <v>1.8</v>
      </c>
      <c r="I42" s="12">
        <v>0</v>
      </c>
    </row>
    <row r="43" spans="2:9" ht="15" customHeight="1" x14ac:dyDescent="0.2">
      <c r="B43" t="s">
        <v>118</v>
      </c>
      <c r="C43" s="12">
        <v>45</v>
      </c>
      <c r="D43" s="8">
        <v>1.5</v>
      </c>
      <c r="E43" s="12">
        <v>0</v>
      </c>
      <c r="F43" s="8">
        <v>0</v>
      </c>
      <c r="G43" s="12">
        <v>45</v>
      </c>
      <c r="H43" s="8">
        <v>2.19</v>
      </c>
      <c r="I43" s="12">
        <v>0</v>
      </c>
    </row>
    <row r="46" spans="2:9" ht="33" customHeight="1" x14ac:dyDescent="0.2">
      <c r="B46" t="s">
        <v>271</v>
      </c>
      <c r="C46" s="10" t="s">
        <v>90</v>
      </c>
      <c r="D46" s="10" t="s">
        <v>91</v>
      </c>
      <c r="E46" s="10" t="s">
        <v>92</v>
      </c>
      <c r="F46" s="10" t="s">
        <v>93</v>
      </c>
      <c r="G46" s="10" t="s">
        <v>94</v>
      </c>
      <c r="H46" s="10" t="s">
        <v>95</v>
      </c>
      <c r="I46" s="10" t="s">
        <v>96</v>
      </c>
    </row>
    <row r="47" spans="2:9" ht="15" customHeight="1" x14ac:dyDescent="0.2">
      <c r="B47" t="s">
        <v>167</v>
      </c>
      <c r="C47" s="12">
        <v>162</v>
      </c>
      <c r="D47" s="8">
        <v>5.4</v>
      </c>
      <c r="E47" s="12">
        <v>69</v>
      </c>
      <c r="F47" s="8">
        <v>7.36</v>
      </c>
      <c r="G47" s="12">
        <v>93</v>
      </c>
      <c r="H47" s="8">
        <v>4.53</v>
      </c>
      <c r="I47" s="12">
        <v>0</v>
      </c>
    </row>
    <row r="48" spans="2:9" ht="15" customHeight="1" x14ac:dyDescent="0.2">
      <c r="B48" t="s">
        <v>173</v>
      </c>
      <c r="C48" s="12">
        <v>123</v>
      </c>
      <c r="D48" s="8">
        <v>4.0999999999999996</v>
      </c>
      <c r="E48" s="12">
        <v>95</v>
      </c>
      <c r="F48" s="8">
        <v>10.130000000000001</v>
      </c>
      <c r="G48" s="12">
        <v>28</v>
      </c>
      <c r="H48" s="8">
        <v>1.36</v>
      </c>
      <c r="I48" s="12">
        <v>0</v>
      </c>
    </row>
    <row r="49" spans="2:9" ht="15" customHeight="1" x14ac:dyDescent="0.2">
      <c r="B49" t="s">
        <v>166</v>
      </c>
      <c r="C49" s="12">
        <v>93</v>
      </c>
      <c r="D49" s="8">
        <v>3.1</v>
      </c>
      <c r="E49" s="12">
        <v>15</v>
      </c>
      <c r="F49" s="8">
        <v>1.6</v>
      </c>
      <c r="G49" s="12">
        <v>78</v>
      </c>
      <c r="H49" s="8">
        <v>3.8</v>
      </c>
      <c r="I49" s="12">
        <v>0</v>
      </c>
    </row>
    <row r="50" spans="2:9" ht="15" customHeight="1" x14ac:dyDescent="0.2">
      <c r="B50" t="s">
        <v>175</v>
      </c>
      <c r="C50" s="12">
        <v>93</v>
      </c>
      <c r="D50" s="8">
        <v>3.1</v>
      </c>
      <c r="E50" s="12">
        <v>81</v>
      </c>
      <c r="F50" s="8">
        <v>8.64</v>
      </c>
      <c r="G50" s="12">
        <v>12</v>
      </c>
      <c r="H50" s="8">
        <v>0.57999999999999996</v>
      </c>
      <c r="I50" s="12">
        <v>0</v>
      </c>
    </row>
    <row r="51" spans="2:9" ht="15" customHeight="1" x14ac:dyDescent="0.2">
      <c r="B51" t="s">
        <v>174</v>
      </c>
      <c r="C51" s="12">
        <v>91</v>
      </c>
      <c r="D51" s="8">
        <v>3.03</v>
      </c>
      <c r="E51" s="12">
        <v>54</v>
      </c>
      <c r="F51" s="8">
        <v>5.76</v>
      </c>
      <c r="G51" s="12">
        <v>37</v>
      </c>
      <c r="H51" s="8">
        <v>1.8</v>
      </c>
      <c r="I51" s="12">
        <v>0</v>
      </c>
    </row>
    <row r="52" spans="2:9" ht="15" customHeight="1" x14ac:dyDescent="0.2">
      <c r="B52" t="s">
        <v>169</v>
      </c>
      <c r="C52" s="12">
        <v>87</v>
      </c>
      <c r="D52" s="8">
        <v>2.9</v>
      </c>
      <c r="E52" s="12">
        <v>53</v>
      </c>
      <c r="F52" s="8">
        <v>5.65</v>
      </c>
      <c r="G52" s="12">
        <v>34</v>
      </c>
      <c r="H52" s="8">
        <v>1.66</v>
      </c>
      <c r="I52" s="12">
        <v>0</v>
      </c>
    </row>
    <row r="53" spans="2:9" ht="15" customHeight="1" x14ac:dyDescent="0.2">
      <c r="B53" t="s">
        <v>178</v>
      </c>
      <c r="C53" s="12">
        <v>76</v>
      </c>
      <c r="D53" s="8">
        <v>2.5299999999999998</v>
      </c>
      <c r="E53" s="12">
        <v>8</v>
      </c>
      <c r="F53" s="8">
        <v>0.85</v>
      </c>
      <c r="G53" s="12">
        <v>66</v>
      </c>
      <c r="H53" s="8">
        <v>3.22</v>
      </c>
      <c r="I53" s="12">
        <v>1</v>
      </c>
    </row>
    <row r="54" spans="2:9" ht="15" customHeight="1" x14ac:dyDescent="0.2">
      <c r="B54" t="s">
        <v>170</v>
      </c>
      <c r="C54" s="12">
        <v>75</v>
      </c>
      <c r="D54" s="8">
        <v>2.5</v>
      </c>
      <c r="E54" s="12">
        <v>52</v>
      </c>
      <c r="F54" s="8">
        <v>5.54</v>
      </c>
      <c r="G54" s="12">
        <v>23</v>
      </c>
      <c r="H54" s="8">
        <v>1.1200000000000001</v>
      </c>
      <c r="I54" s="12">
        <v>0</v>
      </c>
    </row>
    <row r="55" spans="2:9" ht="15" customHeight="1" x14ac:dyDescent="0.2">
      <c r="B55" t="s">
        <v>168</v>
      </c>
      <c r="C55" s="12">
        <v>71</v>
      </c>
      <c r="D55" s="8">
        <v>2.37</v>
      </c>
      <c r="E55" s="12">
        <v>4</v>
      </c>
      <c r="F55" s="8">
        <v>0.43</v>
      </c>
      <c r="G55" s="12">
        <v>67</v>
      </c>
      <c r="H55" s="8">
        <v>3.27</v>
      </c>
      <c r="I55" s="12">
        <v>0</v>
      </c>
    </row>
    <row r="56" spans="2:9" ht="15" customHeight="1" x14ac:dyDescent="0.2">
      <c r="B56" t="s">
        <v>164</v>
      </c>
      <c r="C56" s="12">
        <v>68</v>
      </c>
      <c r="D56" s="8">
        <v>2.27</v>
      </c>
      <c r="E56" s="12">
        <v>32</v>
      </c>
      <c r="F56" s="8">
        <v>3.41</v>
      </c>
      <c r="G56" s="12">
        <v>36</v>
      </c>
      <c r="H56" s="8">
        <v>1.75</v>
      </c>
      <c r="I56" s="12">
        <v>0</v>
      </c>
    </row>
    <row r="57" spans="2:9" ht="15" customHeight="1" x14ac:dyDescent="0.2">
      <c r="B57" t="s">
        <v>191</v>
      </c>
      <c r="C57" s="12">
        <v>61</v>
      </c>
      <c r="D57" s="8">
        <v>2.0299999999999998</v>
      </c>
      <c r="E57" s="12">
        <v>50</v>
      </c>
      <c r="F57" s="8">
        <v>5.33</v>
      </c>
      <c r="G57" s="12">
        <v>11</v>
      </c>
      <c r="H57" s="8">
        <v>0.54</v>
      </c>
      <c r="I57" s="12">
        <v>0</v>
      </c>
    </row>
    <row r="58" spans="2:9" ht="15" customHeight="1" x14ac:dyDescent="0.2">
      <c r="B58" t="s">
        <v>165</v>
      </c>
      <c r="C58" s="12">
        <v>58</v>
      </c>
      <c r="D58" s="8">
        <v>1.93</v>
      </c>
      <c r="E58" s="12">
        <v>2</v>
      </c>
      <c r="F58" s="8">
        <v>0.21</v>
      </c>
      <c r="G58" s="12">
        <v>56</v>
      </c>
      <c r="H58" s="8">
        <v>2.73</v>
      </c>
      <c r="I58" s="12">
        <v>0</v>
      </c>
    </row>
    <row r="59" spans="2:9" ht="15" customHeight="1" x14ac:dyDescent="0.2">
      <c r="B59" t="s">
        <v>188</v>
      </c>
      <c r="C59" s="12">
        <v>56</v>
      </c>
      <c r="D59" s="8">
        <v>1.87</v>
      </c>
      <c r="E59" s="12">
        <v>11</v>
      </c>
      <c r="F59" s="8">
        <v>1.17</v>
      </c>
      <c r="G59" s="12">
        <v>45</v>
      </c>
      <c r="H59" s="8">
        <v>2.19</v>
      </c>
      <c r="I59" s="12">
        <v>0</v>
      </c>
    </row>
    <row r="60" spans="2:9" ht="15" customHeight="1" x14ac:dyDescent="0.2">
      <c r="B60" t="s">
        <v>172</v>
      </c>
      <c r="C60" s="12">
        <v>55</v>
      </c>
      <c r="D60" s="8">
        <v>1.83</v>
      </c>
      <c r="E60" s="12">
        <v>46</v>
      </c>
      <c r="F60" s="8">
        <v>4.9000000000000004</v>
      </c>
      <c r="G60" s="12">
        <v>9</v>
      </c>
      <c r="H60" s="8">
        <v>0.44</v>
      </c>
      <c r="I60" s="12">
        <v>0</v>
      </c>
    </row>
    <row r="61" spans="2:9" ht="15" customHeight="1" x14ac:dyDescent="0.2">
      <c r="B61" t="s">
        <v>162</v>
      </c>
      <c r="C61" s="12">
        <v>54</v>
      </c>
      <c r="D61" s="8">
        <v>1.8</v>
      </c>
      <c r="E61" s="12">
        <v>10</v>
      </c>
      <c r="F61" s="8">
        <v>1.07</v>
      </c>
      <c r="G61" s="12">
        <v>44</v>
      </c>
      <c r="H61" s="8">
        <v>2.14</v>
      </c>
      <c r="I61" s="12">
        <v>0</v>
      </c>
    </row>
    <row r="62" spans="2:9" ht="15" customHeight="1" x14ac:dyDescent="0.2">
      <c r="B62" t="s">
        <v>186</v>
      </c>
      <c r="C62" s="12">
        <v>50</v>
      </c>
      <c r="D62" s="8">
        <v>1.67</v>
      </c>
      <c r="E62" s="12">
        <v>3</v>
      </c>
      <c r="F62" s="8">
        <v>0.32</v>
      </c>
      <c r="G62" s="12">
        <v>47</v>
      </c>
      <c r="H62" s="8">
        <v>2.29</v>
      </c>
      <c r="I62" s="12">
        <v>0</v>
      </c>
    </row>
    <row r="63" spans="2:9" ht="15" customHeight="1" x14ac:dyDescent="0.2">
      <c r="B63" t="s">
        <v>185</v>
      </c>
      <c r="C63" s="12">
        <v>49</v>
      </c>
      <c r="D63" s="8">
        <v>1.63</v>
      </c>
      <c r="E63" s="12">
        <v>11</v>
      </c>
      <c r="F63" s="8">
        <v>1.17</v>
      </c>
      <c r="G63" s="12">
        <v>38</v>
      </c>
      <c r="H63" s="8">
        <v>1.85</v>
      </c>
      <c r="I63" s="12">
        <v>0</v>
      </c>
    </row>
    <row r="64" spans="2:9" ht="15" customHeight="1" x14ac:dyDescent="0.2">
      <c r="B64" t="s">
        <v>187</v>
      </c>
      <c r="C64" s="12">
        <v>43</v>
      </c>
      <c r="D64" s="8">
        <v>1.43</v>
      </c>
      <c r="E64" s="12">
        <v>4</v>
      </c>
      <c r="F64" s="8">
        <v>0.43</v>
      </c>
      <c r="G64" s="12">
        <v>39</v>
      </c>
      <c r="H64" s="8">
        <v>1.9</v>
      </c>
      <c r="I64" s="12">
        <v>0</v>
      </c>
    </row>
    <row r="65" spans="2:9" ht="15" customHeight="1" x14ac:dyDescent="0.2">
      <c r="B65" t="s">
        <v>189</v>
      </c>
      <c r="C65" s="12">
        <v>39</v>
      </c>
      <c r="D65" s="8">
        <v>1.3</v>
      </c>
      <c r="E65" s="12">
        <v>25</v>
      </c>
      <c r="F65" s="8">
        <v>2.67</v>
      </c>
      <c r="G65" s="12">
        <v>14</v>
      </c>
      <c r="H65" s="8">
        <v>0.68</v>
      </c>
      <c r="I65" s="12">
        <v>0</v>
      </c>
    </row>
    <row r="66" spans="2:9" ht="15" customHeight="1" x14ac:dyDescent="0.2">
      <c r="B66" t="s">
        <v>190</v>
      </c>
      <c r="C66" s="12">
        <v>38</v>
      </c>
      <c r="D66" s="8">
        <v>1.27</v>
      </c>
      <c r="E66" s="12">
        <v>29</v>
      </c>
      <c r="F66" s="8">
        <v>3.09</v>
      </c>
      <c r="G66" s="12">
        <v>9</v>
      </c>
      <c r="H66" s="8">
        <v>0.44</v>
      </c>
      <c r="I66" s="12">
        <v>0</v>
      </c>
    </row>
    <row r="67" spans="2:9" ht="15" customHeight="1" x14ac:dyDescent="0.2">
      <c r="B67" t="s">
        <v>192</v>
      </c>
      <c r="C67" s="12">
        <v>38</v>
      </c>
      <c r="D67" s="8">
        <v>1.27</v>
      </c>
      <c r="E67" s="12">
        <v>25</v>
      </c>
      <c r="F67" s="8">
        <v>2.67</v>
      </c>
      <c r="G67" s="12">
        <v>13</v>
      </c>
      <c r="H67" s="8">
        <v>0.63</v>
      </c>
      <c r="I67" s="12">
        <v>0</v>
      </c>
    </row>
    <row r="69" spans="2:9" ht="15" customHeight="1" x14ac:dyDescent="0.2">
      <c r="B69" t="s">
        <v>272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78</vt:i4>
      </vt:variant>
      <vt:variant>
        <vt:lpstr>名前付き一覧</vt:lpstr>
      </vt:variant>
      <vt:variant>
        <vt:i4>3</vt:i4>
      </vt:variant>
    </vt:vector>
  </HeadingPairs>
  <TitlesOfParts>
    <vt:vector size="81" baseType="lpstr">
      <vt:lpstr>目次</vt:lpstr>
      <vt:lpstr>産業大分類</vt:lpstr>
      <vt:lpstr>産業中分類</vt:lpstr>
      <vt:lpstr>産業小分類</vt:lpstr>
      <vt:lpstr>埼玉県</vt:lpstr>
      <vt:lpstr>さいたま市</vt:lpstr>
      <vt:lpstr>さいたま市西区</vt:lpstr>
      <vt:lpstr>さいたま市北区</vt:lpstr>
      <vt:lpstr>さいたま市大宮区</vt:lpstr>
      <vt:lpstr>さいたま市見沼区</vt:lpstr>
      <vt:lpstr>さいたま市中央区</vt:lpstr>
      <vt:lpstr>さいたま市桜区</vt:lpstr>
      <vt:lpstr>さいたま市浦和区</vt:lpstr>
      <vt:lpstr>さいたま市南区</vt:lpstr>
      <vt:lpstr>さいたま市緑区</vt:lpstr>
      <vt:lpstr>さいたま市岩槻区</vt:lpstr>
      <vt:lpstr>川越市</vt:lpstr>
      <vt:lpstr>熊谷市</vt:lpstr>
      <vt:lpstr>川口市</vt:lpstr>
      <vt:lpstr>行田市</vt:lpstr>
      <vt:lpstr>秩父市</vt:lpstr>
      <vt:lpstr>所沢市</vt:lpstr>
      <vt:lpstr>飯能市</vt:lpstr>
      <vt:lpstr>加須市</vt:lpstr>
      <vt:lpstr>本庄市</vt:lpstr>
      <vt:lpstr>東松山市</vt:lpstr>
      <vt:lpstr>春日部市</vt:lpstr>
      <vt:lpstr>狭山市</vt:lpstr>
      <vt:lpstr>羽生市</vt:lpstr>
      <vt:lpstr>鴻巣市</vt:lpstr>
      <vt:lpstr>深谷市</vt:lpstr>
      <vt:lpstr>上尾市</vt:lpstr>
      <vt:lpstr>草加市</vt:lpstr>
      <vt:lpstr>越谷市</vt:lpstr>
      <vt:lpstr>蕨市</vt:lpstr>
      <vt:lpstr>戸田市</vt:lpstr>
      <vt:lpstr>入間市</vt:lpstr>
      <vt:lpstr>朝霞市</vt:lpstr>
      <vt:lpstr>志木市</vt:lpstr>
      <vt:lpstr>和光市</vt:lpstr>
      <vt:lpstr>新座市</vt:lpstr>
      <vt:lpstr>桶川市</vt:lpstr>
      <vt:lpstr>久喜市</vt:lpstr>
      <vt:lpstr>北本市</vt:lpstr>
      <vt:lpstr>八潮市</vt:lpstr>
      <vt:lpstr>富士見市</vt:lpstr>
      <vt:lpstr>三郷市</vt:lpstr>
      <vt:lpstr>蓮田市</vt:lpstr>
      <vt:lpstr>坂戸市</vt:lpstr>
      <vt:lpstr>幸手市</vt:lpstr>
      <vt:lpstr>鶴ヶ島市</vt:lpstr>
      <vt:lpstr>日高市</vt:lpstr>
      <vt:lpstr>吉川市</vt:lpstr>
      <vt:lpstr>ふじみ野市</vt:lpstr>
      <vt:lpstr>白岡市</vt:lpstr>
      <vt:lpstr>北足立郡伊奈町</vt:lpstr>
      <vt:lpstr>入間郡三芳町</vt:lpstr>
      <vt:lpstr>入間郡毛呂山町</vt:lpstr>
      <vt:lpstr>入間郡越生町</vt:lpstr>
      <vt:lpstr>比企郡滑川町</vt:lpstr>
      <vt:lpstr>比企郡嵐山町</vt:lpstr>
      <vt:lpstr>比企郡小川町</vt:lpstr>
      <vt:lpstr>比企郡川島町</vt:lpstr>
      <vt:lpstr>比企郡吉見町</vt:lpstr>
      <vt:lpstr>比企郡鳩山町</vt:lpstr>
      <vt:lpstr>比企郡ときがわ町</vt:lpstr>
      <vt:lpstr>秩父郡横瀬町</vt:lpstr>
      <vt:lpstr>秩父郡皆野町</vt:lpstr>
      <vt:lpstr>秩父郡長瀞町</vt:lpstr>
      <vt:lpstr>秩父郡小鹿野町</vt:lpstr>
      <vt:lpstr>秩父郡東秩父村</vt:lpstr>
      <vt:lpstr>児玉郡美里町</vt:lpstr>
      <vt:lpstr>児玉郡神川町</vt:lpstr>
      <vt:lpstr>児玉郡上里町</vt:lpstr>
      <vt:lpstr>大里郡寄居町</vt:lpstr>
      <vt:lpstr>南埼玉郡宮代町</vt:lpstr>
      <vt:lpstr>北葛飾郡杉戸町</vt:lpstr>
      <vt:lpstr>北葛飾郡松伏町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2023-08-17T02:22:15Z</dcterms:created>
  <dcterms:modified xsi:type="dcterms:W3CDTF">2023-08-17T02:22:15Z</dcterms:modified>
</cp:coreProperties>
</file>